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ämäTyökirja"/>
  <mc:AlternateContent xmlns:mc="http://schemas.openxmlformats.org/markup-compatibility/2006">
    <mc:Choice Requires="x15">
      <x15ac:absPath xmlns:x15ac="http://schemas.microsoft.com/office/spreadsheetml/2010/11/ac" url="C:\Users\221101A\Desktop\GHG Protokolla\Päästökertoimet\Omat kertoimet\"/>
    </mc:Choice>
  </mc:AlternateContent>
  <xr:revisionPtr revIDLastSave="0" documentId="13_ncr:1_{479CCE5E-06A5-4719-AA9A-BB8926189F09}" xr6:coauthVersionLast="47" xr6:coauthVersionMax="47" xr10:uidLastSave="{00000000-0000-0000-0000-000000000000}"/>
  <bookViews>
    <workbookView xWindow="-120" yWindow="-120" windowWidth="38640" windowHeight="21240" xr2:uid="{00000000-000D-0000-FFFF-FFFF00000000}"/>
  </bookViews>
  <sheets>
    <sheet name="Käyttöohje" sheetId="21" r:id="rId1"/>
    <sheet name="Kokonaispäästöt" sheetId="3" r:id="rId2"/>
    <sheet name="Tuotettu energia" sheetId="18" r:id="rId3"/>
    <sheet name="Polttoaineet" sheetId="7" r:id="rId4"/>
    <sheet name="Hajapäästöt" sheetId="12" r:id="rId5"/>
    <sheet name="Sähkö ja höyry" sheetId="4" r:id="rId6"/>
    <sheet name="Kaukolämpö ja kaukokylmä" sheetId="5" r:id="rId7"/>
    <sheet name="Rakennusmateriaalit" sheetId="19" r:id="rId8"/>
    <sheet name="Käyttöomaisuus" sheetId="20" r:id="rId9"/>
    <sheet name="Kuljetukset" sheetId="10" r:id="rId10"/>
    <sheet name="Matkustus" sheetId="9" r:id="rId11"/>
    <sheet name="Jätteet" sheetId="6" r:id="rId12"/>
    <sheet name="Vuokrat ja leasing" sheetId="8" r:id="rId13"/>
    <sheet name="Tuotteen prosessointi ja käyttö" sheetId="16" r:id="rId14"/>
    <sheet name="Tuotteiden loppukäsittely" sheetId="17" r:id="rId15"/>
    <sheet name="Franchising ja sijoitukset" sheetId="11" r:id="rId16"/>
    <sheet name="Ruoka ja juoma" sheetId="1" r:id="rId17"/>
    <sheet name="Päästökertoimet" sheetId="2" r:id="rId18"/>
  </sheets>
  <definedNames>
    <definedName name="_xlnm._FilterDatabase" localSheetId="17" hidden="1">Päästökertoimet!$AA$160:$AC$160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5" l="1"/>
  <c r="L30" i="5"/>
  <c r="L31" i="5"/>
  <c r="L32" i="5"/>
  <c r="L33" i="5"/>
  <c r="L29" i="5"/>
  <c r="J40" i="4"/>
  <c r="J41" i="4"/>
  <c r="J42" i="4"/>
  <c r="J43" i="4"/>
  <c r="I40" i="4"/>
  <c r="I41" i="4"/>
  <c r="I42" i="4"/>
  <c r="I43" i="4"/>
  <c r="I39" i="4"/>
  <c r="F28" i="2"/>
  <c r="F27" i="2"/>
  <c r="F26" i="2"/>
  <c r="K30" i="5"/>
  <c r="K31" i="5"/>
  <c r="K32" i="5"/>
  <c r="K33" i="5"/>
  <c r="K29" i="5"/>
  <c r="D10" i="9"/>
  <c r="D11" i="9"/>
  <c r="D12" i="9"/>
  <c r="D13" i="9"/>
  <c r="D14" i="9"/>
  <c r="K20" i="5"/>
  <c r="M20" i="5" s="1"/>
  <c r="L20" i="5"/>
  <c r="L21" i="5"/>
  <c r="N21" i="5" s="1"/>
  <c r="K23" i="5"/>
  <c r="M23" i="5" s="1"/>
  <c r="K22" i="5"/>
  <c r="M22" i="5" s="1"/>
  <c r="L22" i="5"/>
  <c r="K21" i="5"/>
  <c r="M21" i="5" s="1"/>
  <c r="K12" i="5"/>
  <c r="L12" i="5"/>
  <c r="K13" i="5"/>
  <c r="L13" i="5"/>
  <c r="K14" i="5"/>
  <c r="L14" i="5"/>
  <c r="K15" i="5"/>
  <c r="L15" i="5"/>
  <c r="L11" i="5"/>
  <c r="K11" i="5"/>
  <c r="I12" i="4"/>
  <c r="N23" i="5"/>
  <c r="N22" i="5"/>
  <c r="D29" i="5"/>
  <c r="D30" i="5"/>
  <c r="D31" i="5"/>
  <c r="D32" i="5"/>
  <c r="D11" i="5"/>
  <c r="D12" i="5"/>
  <c r="D13" i="5"/>
  <c r="D21" i="8"/>
  <c r="D22" i="8"/>
  <c r="N18" i="9"/>
  <c r="N19" i="9"/>
  <c r="E13" i="20"/>
  <c r="E14" i="20"/>
  <c r="E15" i="20"/>
  <c r="E16" i="20"/>
  <c r="E18" i="20"/>
  <c r="E17" i="20"/>
  <c r="E12" i="20"/>
  <c r="E11" i="20"/>
  <c r="E10" i="20"/>
  <c r="E9" i="20"/>
  <c r="K19" i="19"/>
  <c r="E27" i="7"/>
  <c r="F27" i="7" s="1"/>
  <c r="E28" i="7"/>
  <c r="F28" i="7" s="1"/>
  <c r="F29" i="7"/>
  <c r="F30" i="7"/>
  <c r="K27" i="7"/>
  <c r="M27" i="7" s="1"/>
  <c r="L27" i="7"/>
  <c r="K28" i="7"/>
  <c r="M28" i="7" s="1"/>
  <c r="N28" i="7" s="1"/>
  <c r="L28" i="7"/>
  <c r="N30" i="7"/>
  <c r="J15" i="7"/>
  <c r="K15" i="7"/>
  <c r="M15" i="7" s="1" a="1"/>
  <c r="M15" i="7" s="1"/>
  <c r="N15" i="7" s="1"/>
  <c r="L15" i="7"/>
  <c r="J16" i="7"/>
  <c r="K16" i="7"/>
  <c r="L16" i="7"/>
  <c r="E15" i="7" a="1"/>
  <c r="E15" i="7" s="1"/>
  <c r="F15" i="7" s="1"/>
  <c r="E16" i="7" a="1"/>
  <c r="E16" i="7" s="1"/>
  <c r="F16" i="7" s="1"/>
  <c r="P19" i="18"/>
  <c r="K18" i="18"/>
  <c r="N18" i="18" s="1"/>
  <c r="L18" i="18"/>
  <c r="M18" i="18"/>
  <c r="K17" i="18"/>
  <c r="N17" i="18" s="1"/>
  <c r="L17" i="18"/>
  <c r="M17" i="18"/>
  <c r="G19" i="18"/>
  <c r="E18" i="18"/>
  <c r="F18" i="18"/>
  <c r="G18" i="18" s="1"/>
  <c r="G20" i="18"/>
  <c r="G21" i="18"/>
  <c r="N13" i="9"/>
  <c r="N14" i="9"/>
  <c r="N15" i="9"/>
  <c r="N16" i="9"/>
  <c r="N17" i="9"/>
  <c r="E13" i="9"/>
  <c r="E14" i="9"/>
  <c r="E15" i="9"/>
  <c r="E16" i="9"/>
  <c r="E17" i="9"/>
  <c r="E18" i="9"/>
  <c r="E19" i="9"/>
  <c r="N20" i="5" l="1"/>
  <c r="C16" i="3" s="1"/>
  <c r="N27" i="7"/>
  <c r="N29" i="7"/>
  <c r="M16" i="7" a="1"/>
  <c r="M16" i="7" s="1"/>
  <c r="N16" i="7" s="1"/>
  <c r="O18" i="18"/>
  <c r="P18" i="18" s="1"/>
  <c r="O17" i="18"/>
  <c r="P17" i="18" s="1"/>
  <c r="E17" i="18"/>
  <c r="F17" i="18"/>
  <c r="E94" i="9"/>
  <c r="F94" i="9"/>
  <c r="E95" i="9"/>
  <c r="F95" i="9"/>
  <c r="E96" i="9"/>
  <c r="F96" i="9"/>
  <c r="E97" i="9"/>
  <c r="F97" i="9"/>
  <c r="E98" i="9"/>
  <c r="F98" i="9"/>
  <c r="E99" i="9"/>
  <c r="F99" i="9"/>
  <c r="F100" i="9"/>
  <c r="G100" i="9" s="1"/>
  <c r="F101" i="9"/>
  <c r="F78" i="9"/>
  <c r="E79" i="9"/>
  <c r="F79" i="9"/>
  <c r="E80" i="9"/>
  <c r="F80" i="9"/>
  <c r="E81" i="9"/>
  <c r="F81" i="9"/>
  <c r="E82" i="9"/>
  <c r="F82" i="9"/>
  <c r="E83" i="9"/>
  <c r="F83" i="9"/>
  <c r="E84" i="9"/>
  <c r="F84" i="9"/>
  <c r="F85" i="9"/>
  <c r="F86" i="9"/>
  <c r="F77" i="9"/>
  <c r="E77" i="9"/>
  <c r="E65" i="9"/>
  <c r="F65" i="9"/>
  <c r="E66" i="9"/>
  <c r="F66" i="9"/>
  <c r="E67" i="9"/>
  <c r="F67" i="9"/>
  <c r="E68" i="9"/>
  <c r="F68" i="9"/>
  <c r="E69" i="9"/>
  <c r="F69" i="9"/>
  <c r="E70" i="9"/>
  <c r="F70" i="9"/>
  <c r="F71" i="9"/>
  <c r="F72" i="9"/>
  <c r="E36" i="9"/>
  <c r="AB218" i="2"/>
  <c r="AC218" i="2" s="1"/>
  <c r="AB214" i="2"/>
  <c r="AC214" i="2" s="1"/>
  <c r="AB203" i="2"/>
  <c r="AC203" i="2" s="1"/>
  <c r="AB235" i="2"/>
  <c r="AC235" i="2" s="1"/>
  <c r="AB227" i="2"/>
  <c r="AC227" i="2" s="1"/>
  <c r="AB213" i="2"/>
  <c r="AC213" i="2" s="1"/>
  <c r="AB239" i="2"/>
  <c r="AC239" i="2" s="1"/>
  <c r="AB225" i="2"/>
  <c r="AC225" i="2" s="1"/>
  <c r="AB229" i="2"/>
  <c r="AC229" i="2" s="1"/>
  <c r="AB204" i="2"/>
  <c r="AC204" i="2" s="1"/>
  <c r="AB241" i="2"/>
  <c r="AC241" i="2" s="1"/>
  <c r="AB240" i="2"/>
  <c r="AC240" i="2" s="1"/>
  <c r="F93" i="9" s="1"/>
  <c r="AB236" i="2"/>
  <c r="AC236" i="2" s="1"/>
  <c r="AB226" i="2"/>
  <c r="AC226" i="2" s="1"/>
  <c r="AB205" i="2"/>
  <c r="AC205" i="2" s="1"/>
  <c r="AB210" i="2"/>
  <c r="AC210" i="2" s="1"/>
  <c r="AB212" i="2"/>
  <c r="AC212" i="2" s="1"/>
  <c r="AB230" i="2"/>
  <c r="AC230" i="2" s="1"/>
  <c r="AB234" i="2"/>
  <c r="AC234" i="2" s="1"/>
  <c r="AB233" i="2"/>
  <c r="AC233" i="2" s="1"/>
  <c r="AB206" i="2"/>
  <c r="AC206" i="2" s="1"/>
  <c r="AB219" i="2"/>
  <c r="AC219" i="2" s="1"/>
  <c r="AB238" i="2"/>
  <c r="AC238" i="2" s="1"/>
  <c r="AB228" i="2"/>
  <c r="AC228" i="2" s="1"/>
  <c r="AB216" i="2"/>
  <c r="AC216" i="2" s="1"/>
  <c r="AB208" i="2"/>
  <c r="AC208" i="2" s="1"/>
  <c r="AB237" i="2"/>
  <c r="AC237" i="2" s="1"/>
  <c r="AB231" i="2"/>
  <c r="AC231" i="2" s="1"/>
  <c r="AB222" i="2"/>
  <c r="AC222" i="2" s="1"/>
  <c r="AB221" i="2"/>
  <c r="AC221" i="2" s="1"/>
  <c r="AB220" i="2"/>
  <c r="AC220" i="2" s="1"/>
  <c r="AB224" i="2"/>
  <c r="AC224" i="2" s="1"/>
  <c r="AB217" i="2"/>
  <c r="AC217" i="2" s="1"/>
  <c r="AB215" i="2"/>
  <c r="AC215" i="2" s="1"/>
  <c r="AB211" i="2"/>
  <c r="AC211" i="2" s="1"/>
  <c r="AB209" i="2"/>
  <c r="AC209" i="2" s="1"/>
  <c r="AB223" i="2"/>
  <c r="AC223" i="2" s="1"/>
  <c r="AB207" i="2"/>
  <c r="AC207" i="2" s="1"/>
  <c r="F92" i="9" s="1"/>
  <c r="AB232" i="2"/>
  <c r="AC232" i="2" s="1"/>
  <c r="AC186" i="2"/>
  <c r="AB198" i="2"/>
  <c r="AC198" i="2" s="1"/>
  <c r="AB199" i="2"/>
  <c r="AC199" i="2" s="1"/>
  <c r="AB196" i="2"/>
  <c r="AC196" i="2" s="1"/>
  <c r="AB194" i="2"/>
  <c r="AC194" i="2" s="1"/>
  <c r="AB195" i="2"/>
  <c r="AC195" i="2" s="1"/>
  <c r="AB193" i="2"/>
  <c r="AC193" i="2" s="1"/>
  <c r="AB192" i="2"/>
  <c r="AC192" i="2" s="1"/>
  <c r="AB191" i="2"/>
  <c r="AC191" i="2" s="1"/>
  <c r="AB190" i="2"/>
  <c r="AC190" i="2" s="1"/>
  <c r="AB189" i="2"/>
  <c r="AC189" i="2" s="1"/>
  <c r="AB188" i="2"/>
  <c r="AC188" i="2" s="1"/>
  <c r="AB187" i="2"/>
  <c r="AC187" i="2" s="1"/>
  <c r="AB197" i="2"/>
  <c r="AC197" i="2" s="1"/>
  <c r="AB184" i="2"/>
  <c r="AC184" i="2" s="1"/>
  <c r="AB185" i="2"/>
  <c r="AC185" i="2" s="1"/>
  <c r="AB182" i="2"/>
  <c r="AC182" i="2" s="1"/>
  <c r="AB183" i="2"/>
  <c r="AC183" i="2" s="1"/>
  <c r="AB181" i="2"/>
  <c r="AC181" i="2" s="1"/>
  <c r="AB168" i="2"/>
  <c r="AC168" i="2" s="1"/>
  <c r="AB169" i="2"/>
  <c r="AC169" i="2" s="1"/>
  <c r="AB178" i="2"/>
  <c r="AC178" i="2" s="1"/>
  <c r="AB177" i="2"/>
  <c r="AC177" i="2" s="1"/>
  <c r="AB176" i="2"/>
  <c r="AC176" i="2" s="1"/>
  <c r="AB175" i="2"/>
  <c r="AC175" i="2" s="1"/>
  <c r="AB173" i="2"/>
  <c r="AC173" i="2" s="1"/>
  <c r="AB174" i="2"/>
  <c r="AC174" i="2" s="1"/>
  <c r="AB172" i="2"/>
  <c r="AC172" i="2" s="1"/>
  <c r="AB170" i="2"/>
  <c r="AC170" i="2" s="1"/>
  <c r="AB171" i="2"/>
  <c r="AC171" i="2" s="1"/>
  <c r="AB167" i="2"/>
  <c r="AC167" i="2" s="1"/>
  <c r="AB166" i="2"/>
  <c r="AC166" i="2" s="1"/>
  <c r="AB180" i="2"/>
  <c r="AC180" i="2" s="1"/>
  <c r="AB179" i="2"/>
  <c r="AC179" i="2" s="1"/>
  <c r="AB165" i="2"/>
  <c r="AC165" i="2" s="1"/>
  <c r="AB164" i="2"/>
  <c r="AC164" i="2" s="1"/>
  <c r="AB163" i="2"/>
  <c r="AC163" i="2" s="1"/>
  <c r="AB162" i="2"/>
  <c r="AC162" i="2" s="1"/>
  <c r="AB161" i="2"/>
  <c r="AC161" i="2" s="1"/>
  <c r="AC144" i="2"/>
  <c r="AB153" i="2"/>
  <c r="AC153" i="2" s="1"/>
  <c r="AB157" i="2"/>
  <c r="AC157" i="2" s="1"/>
  <c r="AB149" i="2"/>
  <c r="AC149" i="2" s="1"/>
  <c r="AB146" i="2"/>
  <c r="AC146" i="2" s="1"/>
  <c r="AB147" i="2"/>
  <c r="AC147" i="2" s="1"/>
  <c r="AB135" i="2"/>
  <c r="AC135" i="2" s="1"/>
  <c r="AB141" i="2"/>
  <c r="AC141" i="2" s="1"/>
  <c r="AB138" i="2"/>
  <c r="AC138" i="2" s="1"/>
  <c r="AB156" i="2"/>
  <c r="AC156" i="2" s="1"/>
  <c r="AB143" i="2"/>
  <c r="AC143" i="2" s="1"/>
  <c r="AB155" i="2"/>
  <c r="AC155" i="2" s="1"/>
  <c r="AB136" i="2"/>
  <c r="AC136" i="2" s="1"/>
  <c r="AB142" i="2"/>
  <c r="AC142" i="2" s="1"/>
  <c r="AB151" i="2"/>
  <c r="AC151" i="2" s="1"/>
  <c r="AB140" i="2"/>
  <c r="AC140" i="2" s="1"/>
  <c r="AB137" i="2"/>
  <c r="AC137" i="2" s="1"/>
  <c r="F63" i="9" s="1"/>
  <c r="AB148" i="2"/>
  <c r="AC148" i="2" s="1"/>
  <c r="AB152" i="2"/>
  <c r="AC152" i="2" s="1"/>
  <c r="F64" i="9" s="1"/>
  <c r="G70" i="9" l="1"/>
  <c r="E63" i="9"/>
  <c r="G63" i="9" s="1"/>
  <c r="E64" i="9"/>
  <c r="G64" i="9" s="1"/>
  <c r="G95" i="9"/>
  <c r="E92" i="9"/>
  <c r="G92" i="9" s="1"/>
  <c r="E78" i="9"/>
  <c r="G78" i="9" s="1"/>
  <c r="E93" i="9"/>
  <c r="G93" i="9" s="1"/>
  <c r="G17" i="18"/>
  <c r="P21" i="18"/>
  <c r="P20" i="18"/>
  <c r="G72" i="9"/>
  <c r="G86" i="9"/>
  <c r="G66" i="9"/>
  <c r="G101" i="9"/>
  <c r="G97" i="9"/>
  <c r="G69" i="9"/>
  <c r="G65" i="9"/>
  <c r="G67" i="9"/>
  <c r="G81" i="9"/>
  <c r="G98" i="9"/>
  <c r="G94" i="9"/>
  <c r="G85" i="9"/>
  <c r="G71" i="9"/>
  <c r="G68" i="9"/>
  <c r="G96" i="9"/>
  <c r="G99" i="9"/>
  <c r="G77" i="9"/>
  <c r="G79" i="9"/>
  <c r="G82" i="9"/>
  <c r="G80" i="9"/>
  <c r="G83" i="9"/>
  <c r="G84" i="9"/>
  <c r="G172" i="19"/>
  <c r="H172" i="19"/>
  <c r="I172" i="19"/>
  <c r="J172" i="19"/>
  <c r="G173" i="19"/>
  <c r="H173" i="19"/>
  <c r="I173" i="19"/>
  <c r="J173" i="19"/>
  <c r="G174" i="19"/>
  <c r="H174" i="19"/>
  <c r="I174" i="19"/>
  <c r="J174" i="19"/>
  <c r="G175" i="19"/>
  <c r="H175" i="19"/>
  <c r="I175" i="19"/>
  <c r="J175" i="19"/>
  <c r="G176" i="19"/>
  <c r="H176" i="19"/>
  <c r="I176" i="19"/>
  <c r="J176" i="19"/>
  <c r="G177" i="19"/>
  <c r="H177" i="19"/>
  <c r="I177" i="19"/>
  <c r="J177" i="19"/>
  <c r="G178" i="19"/>
  <c r="H178" i="19"/>
  <c r="I178" i="19"/>
  <c r="J178" i="19"/>
  <c r="J171" i="19"/>
  <c r="I171" i="19"/>
  <c r="H171" i="19"/>
  <c r="G171" i="19"/>
  <c r="G156" i="19"/>
  <c r="H156" i="19"/>
  <c r="I156" i="19"/>
  <c r="J156" i="19"/>
  <c r="G157" i="19"/>
  <c r="H157" i="19"/>
  <c r="I157" i="19"/>
  <c r="J157" i="19"/>
  <c r="G158" i="19"/>
  <c r="H158" i="19"/>
  <c r="I158" i="19"/>
  <c r="J158" i="19"/>
  <c r="G159" i="19"/>
  <c r="H159" i="19"/>
  <c r="I159" i="19"/>
  <c r="J159" i="19"/>
  <c r="G160" i="19"/>
  <c r="H160" i="19"/>
  <c r="I160" i="19"/>
  <c r="J160" i="19"/>
  <c r="G161" i="19"/>
  <c r="H161" i="19"/>
  <c r="I161" i="19"/>
  <c r="J161" i="19"/>
  <c r="G162" i="19"/>
  <c r="H162" i="19"/>
  <c r="I162" i="19"/>
  <c r="J162" i="19"/>
  <c r="J155" i="19"/>
  <c r="I155" i="19"/>
  <c r="H155" i="19"/>
  <c r="G155" i="19"/>
  <c r="G140" i="19"/>
  <c r="H140" i="19"/>
  <c r="I140" i="19"/>
  <c r="J140" i="19"/>
  <c r="G141" i="19"/>
  <c r="H141" i="19"/>
  <c r="I141" i="19"/>
  <c r="J141" i="19"/>
  <c r="G142" i="19"/>
  <c r="H142" i="19"/>
  <c r="I142" i="19"/>
  <c r="J142" i="19"/>
  <c r="G143" i="19"/>
  <c r="H143" i="19"/>
  <c r="I143" i="19"/>
  <c r="J143" i="19"/>
  <c r="G144" i="19"/>
  <c r="H144" i="19"/>
  <c r="I144" i="19"/>
  <c r="J144" i="19"/>
  <c r="G145" i="19"/>
  <c r="H145" i="19"/>
  <c r="I145" i="19"/>
  <c r="J145" i="19"/>
  <c r="G146" i="19"/>
  <c r="H146" i="19"/>
  <c r="I146" i="19"/>
  <c r="J146" i="19"/>
  <c r="J139" i="19"/>
  <c r="I139" i="19"/>
  <c r="H139" i="19"/>
  <c r="G139" i="19"/>
  <c r="G124" i="19"/>
  <c r="H124" i="19"/>
  <c r="I124" i="19"/>
  <c r="J124" i="19"/>
  <c r="G125" i="19"/>
  <c r="H125" i="19"/>
  <c r="I125" i="19"/>
  <c r="J125" i="19"/>
  <c r="G126" i="19"/>
  <c r="H126" i="19"/>
  <c r="I126" i="19"/>
  <c r="J126" i="19"/>
  <c r="G127" i="19"/>
  <c r="H127" i="19"/>
  <c r="I127" i="19"/>
  <c r="J127" i="19"/>
  <c r="G128" i="19"/>
  <c r="H128" i="19"/>
  <c r="I128" i="19"/>
  <c r="J128" i="19"/>
  <c r="G129" i="19"/>
  <c r="H129" i="19"/>
  <c r="I129" i="19"/>
  <c r="J129" i="19"/>
  <c r="G130" i="19"/>
  <c r="H130" i="19"/>
  <c r="I130" i="19"/>
  <c r="J130" i="19"/>
  <c r="J123" i="19"/>
  <c r="I123" i="19"/>
  <c r="H123" i="19"/>
  <c r="G123" i="19"/>
  <c r="G109" i="19"/>
  <c r="H109" i="19"/>
  <c r="I109" i="19"/>
  <c r="J109" i="19"/>
  <c r="G110" i="19"/>
  <c r="H110" i="19"/>
  <c r="I110" i="19"/>
  <c r="J110" i="19"/>
  <c r="G111" i="19"/>
  <c r="H111" i="19"/>
  <c r="I111" i="19"/>
  <c r="J111" i="19"/>
  <c r="G112" i="19"/>
  <c r="H112" i="19"/>
  <c r="I112" i="19"/>
  <c r="J112" i="19"/>
  <c r="G113" i="19"/>
  <c r="H113" i="19"/>
  <c r="I113" i="19"/>
  <c r="J113" i="19"/>
  <c r="G114" i="19"/>
  <c r="H114" i="19"/>
  <c r="I114" i="19"/>
  <c r="J114" i="19"/>
  <c r="G108" i="19"/>
  <c r="H108" i="19"/>
  <c r="I108" i="19"/>
  <c r="J108" i="19"/>
  <c r="J107" i="19"/>
  <c r="I107" i="19"/>
  <c r="H107" i="19"/>
  <c r="G107" i="19"/>
  <c r="G91" i="19"/>
  <c r="G92" i="19"/>
  <c r="H92" i="19"/>
  <c r="I92" i="19"/>
  <c r="J92" i="19"/>
  <c r="G93" i="19"/>
  <c r="H93" i="19"/>
  <c r="I93" i="19"/>
  <c r="J93" i="19"/>
  <c r="G94" i="19"/>
  <c r="H94" i="19"/>
  <c r="I94" i="19"/>
  <c r="J94" i="19"/>
  <c r="G95" i="19"/>
  <c r="H95" i="19"/>
  <c r="I95" i="19"/>
  <c r="J95" i="19"/>
  <c r="G96" i="19"/>
  <c r="H96" i="19"/>
  <c r="I96" i="19"/>
  <c r="J96" i="19"/>
  <c r="G97" i="19"/>
  <c r="H97" i="19"/>
  <c r="I97" i="19"/>
  <c r="J97" i="19"/>
  <c r="G98" i="19"/>
  <c r="H98" i="19"/>
  <c r="I98" i="19"/>
  <c r="J98" i="19"/>
  <c r="J91" i="19"/>
  <c r="I91" i="19"/>
  <c r="H91" i="19"/>
  <c r="G75" i="19"/>
  <c r="G76" i="19"/>
  <c r="H76" i="19"/>
  <c r="I76" i="19"/>
  <c r="J76" i="19"/>
  <c r="G77" i="19"/>
  <c r="H77" i="19"/>
  <c r="I77" i="19"/>
  <c r="J77" i="19"/>
  <c r="G78" i="19"/>
  <c r="H78" i="19"/>
  <c r="I78" i="19"/>
  <c r="J78" i="19"/>
  <c r="G79" i="19"/>
  <c r="H79" i="19"/>
  <c r="I79" i="19"/>
  <c r="J79" i="19"/>
  <c r="G80" i="19"/>
  <c r="H80" i="19"/>
  <c r="I80" i="19"/>
  <c r="J80" i="19"/>
  <c r="G81" i="19"/>
  <c r="H81" i="19"/>
  <c r="I81" i="19"/>
  <c r="J81" i="19"/>
  <c r="G82" i="19"/>
  <c r="H82" i="19"/>
  <c r="I82" i="19"/>
  <c r="J82" i="19"/>
  <c r="J75" i="19"/>
  <c r="I75" i="19"/>
  <c r="H75" i="19"/>
  <c r="G59" i="19"/>
  <c r="G60" i="19"/>
  <c r="H60" i="19"/>
  <c r="I60" i="19"/>
  <c r="J60" i="19"/>
  <c r="G61" i="19"/>
  <c r="H61" i="19"/>
  <c r="I61" i="19"/>
  <c r="J61" i="19"/>
  <c r="G62" i="19"/>
  <c r="H62" i="19"/>
  <c r="I62" i="19"/>
  <c r="J62" i="19"/>
  <c r="G63" i="19"/>
  <c r="H63" i="19"/>
  <c r="I63" i="19"/>
  <c r="J63" i="19"/>
  <c r="G64" i="19"/>
  <c r="H64" i="19"/>
  <c r="I64" i="19"/>
  <c r="J64" i="19"/>
  <c r="G65" i="19"/>
  <c r="H65" i="19"/>
  <c r="I65" i="19"/>
  <c r="J65" i="19"/>
  <c r="G66" i="19"/>
  <c r="H66" i="19"/>
  <c r="I66" i="19"/>
  <c r="J66" i="19"/>
  <c r="J59" i="19"/>
  <c r="I59" i="19"/>
  <c r="H59" i="19"/>
  <c r="G44" i="19"/>
  <c r="H44" i="19"/>
  <c r="I44" i="19"/>
  <c r="J44" i="19"/>
  <c r="G45" i="19"/>
  <c r="H45" i="19"/>
  <c r="I45" i="19"/>
  <c r="J45" i="19"/>
  <c r="G46" i="19"/>
  <c r="H46" i="19"/>
  <c r="I46" i="19"/>
  <c r="J46" i="19"/>
  <c r="G47" i="19"/>
  <c r="H47" i="19"/>
  <c r="I47" i="19"/>
  <c r="J47" i="19"/>
  <c r="G48" i="19"/>
  <c r="H48" i="19"/>
  <c r="I48" i="19"/>
  <c r="J48" i="19"/>
  <c r="G49" i="19"/>
  <c r="H49" i="19"/>
  <c r="I49" i="19"/>
  <c r="J49" i="19"/>
  <c r="G50" i="19"/>
  <c r="H50" i="19"/>
  <c r="I50" i="19"/>
  <c r="J50" i="19"/>
  <c r="J43" i="19"/>
  <c r="I43" i="19"/>
  <c r="H43" i="19"/>
  <c r="G43" i="19"/>
  <c r="G28" i="19"/>
  <c r="H28" i="19"/>
  <c r="I28" i="19"/>
  <c r="G29" i="19"/>
  <c r="H29" i="19"/>
  <c r="I29" i="19"/>
  <c r="G30" i="19"/>
  <c r="H30" i="19"/>
  <c r="I30" i="19"/>
  <c r="G31" i="19"/>
  <c r="H31" i="19"/>
  <c r="I31" i="19"/>
  <c r="G32" i="19"/>
  <c r="H32" i="19"/>
  <c r="I32" i="19"/>
  <c r="G33" i="19"/>
  <c r="H33" i="19"/>
  <c r="I33" i="19"/>
  <c r="G34" i="19"/>
  <c r="H34" i="19"/>
  <c r="I34" i="19"/>
  <c r="J28" i="19"/>
  <c r="J29" i="19"/>
  <c r="J30" i="19"/>
  <c r="J31" i="19"/>
  <c r="J32" i="19"/>
  <c r="J33" i="19"/>
  <c r="J34" i="19"/>
  <c r="J27" i="19"/>
  <c r="I27" i="19"/>
  <c r="H27" i="19"/>
  <c r="G27" i="19"/>
  <c r="G17" i="19"/>
  <c r="H17" i="19"/>
  <c r="I17" i="19"/>
  <c r="J17" i="19"/>
  <c r="G18" i="19"/>
  <c r="H18" i="19"/>
  <c r="I18" i="19"/>
  <c r="J18" i="19"/>
  <c r="I11" i="19"/>
  <c r="J11" i="19"/>
  <c r="I12" i="19"/>
  <c r="J12" i="19"/>
  <c r="I13" i="19"/>
  <c r="J13" i="19"/>
  <c r="I14" i="19"/>
  <c r="J14" i="19"/>
  <c r="I15" i="19"/>
  <c r="J15" i="19"/>
  <c r="I16" i="19"/>
  <c r="J16" i="19"/>
  <c r="J10" i="19"/>
  <c r="I10" i="19"/>
  <c r="H10" i="19"/>
  <c r="H16" i="19"/>
  <c r="H11" i="19"/>
  <c r="H12" i="19"/>
  <c r="H13" i="19"/>
  <c r="H14" i="19"/>
  <c r="H15" i="19"/>
  <c r="G10" i="19"/>
  <c r="G11" i="19"/>
  <c r="G12" i="19"/>
  <c r="G13" i="19"/>
  <c r="G14" i="19"/>
  <c r="G15" i="19"/>
  <c r="G16" i="19"/>
  <c r="D33" i="5"/>
  <c r="E29" i="5"/>
  <c r="M30" i="5"/>
  <c r="M31" i="5"/>
  <c r="M32" i="5"/>
  <c r="M33" i="5"/>
  <c r="N35" i="5"/>
  <c r="E35" i="5"/>
  <c r="N34" i="5"/>
  <c r="E34" i="5"/>
  <c r="N33" i="5"/>
  <c r="E33" i="5"/>
  <c r="N32" i="5"/>
  <c r="E32" i="5"/>
  <c r="N31" i="5"/>
  <c r="E31" i="5"/>
  <c r="N30" i="5"/>
  <c r="E30" i="5"/>
  <c r="M29" i="5"/>
  <c r="M11" i="18"/>
  <c r="M12" i="18"/>
  <c r="M13" i="18"/>
  <c r="M14" i="18"/>
  <c r="M15" i="18"/>
  <c r="M16" i="18"/>
  <c r="M10" i="18"/>
  <c r="L16" i="18"/>
  <c r="L11" i="18"/>
  <c r="L12" i="18"/>
  <c r="L13" i="18"/>
  <c r="L14" i="18"/>
  <c r="L15" i="18"/>
  <c r="L10" i="18"/>
  <c r="K10" i="18"/>
  <c r="O10" i="18" s="1"/>
  <c r="K11" i="18"/>
  <c r="N11" i="18" s="1"/>
  <c r="K12" i="18"/>
  <c r="N12" i="18" s="1"/>
  <c r="K13" i="18"/>
  <c r="N13" i="18" s="1"/>
  <c r="K14" i="18"/>
  <c r="O14" i="18" s="1"/>
  <c r="K15" i="18"/>
  <c r="O15" i="18" s="1"/>
  <c r="K16" i="18"/>
  <c r="K10" i="7"/>
  <c r="F11" i="18"/>
  <c r="F12" i="18"/>
  <c r="F13" i="18"/>
  <c r="F14" i="18"/>
  <c r="F15" i="18"/>
  <c r="F16" i="18"/>
  <c r="F10" i="18"/>
  <c r="E10" i="18"/>
  <c r="E11" i="18"/>
  <c r="E12" i="18"/>
  <c r="E13" i="18"/>
  <c r="E14" i="18"/>
  <c r="E15" i="18"/>
  <c r="E16" i="18"/>
  <c r="E23" i="7"/>
  <c r="D39" i="4"/>
  <c r="E39" i="4" s="1"/>
  <c r="J39" i="4"/>
  <c r="D40" i="4"/>
  <c r="E40" i="4"/>
  <c r="K40" i="4"/>
  <c r="L40" i="4"/>
  <c r="D41" i="4"/>
  <c r="E41" i="4"/>
  <c r="K41" i="4"/>
  <c r="L41" i="4"/>
  <c r="D42" i="4"/>
  <c r="E42" i="4"/>
  <c r="K42" i="4"/>
  <c r="L42" i="4"/>
  <c r="D43" i="4"/>
  <c r="E43" i="4"/>
  <c r="K43" i="4"/>
  <c r="L43" i="4"/>
  <c r="E44" i="4"/>
  <c r="L44" i="4"/>
  <c r="E45" i="4"/>
  <c r="L45" i="4"/>
  <c r="I13" i="4"/>
  <c r="I14" i="4"/>
  <c r="I15" i="4"/>
  <c r="I16" i="4"/>
  <c r="I17" i="4"/>
  <c r="K17" i="4" s="1"/>
  <c r="I18" i="4"/>
  <c r="K18" i="4" s="1"/>
  <c r="J13" i="4"/>
  <c r="J14" i="4"/>
  <c r="J15" i="4"/>
  <c r="J16" i="4"/>
  <c r="J17" i="4"/>
  <c r="L17" i="4" s="1"/>
  <c r="J18" i="4"/>
  <c r="L18" i="4" s="1"/>
  <c r="L20" i="4"/>
  <c r="J12" i="4"/>
  <c r="L19" i="4"/>
  <c r="L33" i="4"/>
  <c r="J26" i="4"/>
  <c r="J27" i="4"/>
  <c r="J28" i="4"/>
  <c r="J29" i="4"/>
  <c r="L29" i="4" s="1"/>
  <c r="J30" i="4"/>
  <c r="L30" i="4" s="1"/>
  <c r="J31" i="4"/>
  <c r="L31" i="4" s="1"/>
  <c r="L32" i="4"/>
  <c r="J25" i="4"/>
  <c r="I26" i="4"/>
  <c r="K26" i="4" s="1"/>
  <c r="L26" i="4" s="1"/>
  <c r="I27" i="4"/>
  <c r="K27" i="4" s="1"/>
  <c r="I28" i="4"/>
  <c r="K28" i="4" s="1"/>
  <c r="I29" i="4"/>
  <c r="K29" i="4" s="1"/>
  <c r="I30" i="4"/>
  <c r="K30" i="4" s="1"/>
  <c r="I31" i="4"/>
  <c r="K31" i="4" s="1"/>
  <c r="I25" i="4"/>
  <c r="K25" i="4" s="1"/>
  <c r="J28" i="20"/>
  <c r="K28" i="20" s="1"/>
  <c r="J29" i="20"/>
  <c r="J30" i="20"/>
  <c r="J31" i="20"/>
  <c r="J32" i="20"/>
  <c r="J27" i="20"/>
  <c r="K27" i="20" s="1"/>
  <c r="K32" i="20"/>
  <c r="K31" i="20"/>
  <c r="K30" i="20"/>
  <c r="K29" i="20"/>
  <c r="J23" i="20"/>
  <c r="J19" i="20"/>
  <c r="K19" i="20" s="1"/>
  <c r="J20" i="20"/>
  <c r="J21" i="20"/>
  <c r="J22" i="20"/>
  <c r="J10" i="20"/>
  <c r="K10" i="20" s="1"/>
  <c r="J11" i="20"/>
  <c r="J12" i="20"/>
  <c r="J13" i="20"/>
  <c r="J14" i="20"/>
  <c r="K23" i="20"/>
  <c r="K22" i="20"/>
  <c r="K21" i="20"/>
  <c r="K20" i="20"/>
  <c r="D41" i="20"/>
  <c r="E41" i="20" s="1"/>
  <c r="D42" i="20"/>
  <c r="D43" i="20"/>
  <c r="D44" i="20"/>
  <c r="D45" i="20"/>
  <c r="D40" i="20"/>
  <c r="E40" i="20" s="1"/>
  <c r="D32" i="20"/>
  <c r="E32" i="20" s="1"/>
  <c r="D33" i="20"/>
  <c r="D34" i="20"/>
  <c r="D35" i="20"/>
  <c r="D36" i="20"/>
  <c r="D31" i="20"/>
  <c r="E31" i="20" s="1"/>
  <c r="D23" i="20"/>
  <c r="E23" i="20" s="1"/>
  <c r="D25" i="20"/>
  <c r="E25" i="20" s="1"/>
  <c r="D26" i="20"/>
  <c r="D27" i="20"/>
  <c r="D22" i="20"/>
  <c r="E22" i="20" s="1"/>
  <c r="K14" i="20"/>
  <c r="K13" i="20"/>
  <c r="K12" i="20"/>
  <c r="K11" i="20"/>
  <c r="E45" i="20"/>
  <c r="E44" i="20"/>
  <c r="E43" i="20"/>
  <c r="E42" i="20"/>
  <c r="E36" i="20"/>
  <c r="E35" i="20"/>
  <c r="E34" i="20"/>
  <c r="E33" i="20"/>
  <c r="E27" i="20"/>
  <c r="E26" i="20"/>
  <c r="B149" i="2"/>
  <c r="J18" i="20" s="1"/>
  <c r="K18" i="20" s="1"/>
  <c r="B148" i="2"/>
  <c r="B143" i="2"/>
  <c r="B142" i="2"/>
  <c r="B141" i="2"/>
  <c r="B140" i="2"/>
  <c r="B139" i="2"/>
  <c r="J9" i="20" s="1"/>
  <c r="K9" i="20" s="1"/>
  <c r="B130" i="2"/>
  <c r="B129" i="2"/>
  <c r="B128" i="2"/>
  <c r="B127" i="2"/>
  <c r="B126" i="2"/>
  <c r="B117" i="2"/>
  <c r="B116" i="2"/>
  <c r="B115" i="2"/>
  <c r="B114" i="2"/>
  <c r="B113" i="2"/>
  <c r="B104" i="2"/>
  <c r="B103" i="2"/>
  <c r="B102" i="2"/>
  <c r="B101" i="2"/>
  <c r="D24" i="20" s="1"/>
  <c r="E24" i="20" s="1"/>
  <c r="B100" i="2"/>
  <c r="O16" i="18" l="1"/>
  <c r="N16" i="18"/>
  <c r="C15" i="3"/>
  <c r="K157" i="19"/>
  <c r="N15" i="18"/>
  <c r="P15" i="18" s="1"/>
  <c r="O13" i="18"/>
  <c r="P13" i="18" s="1"/>
  <c r="N14" i="18"/>
  <c r="P14" i="18" s="1"/>
  <c r="O12" i="18"/>
  <c r="P12" i="18" s="1"/>
  <c r="O11" i="18"/>
  <c r="P11" i="18" s="1"/>
  <c r="P16" i="18"/>
  <c r="K161" i="19"/>
  <c r="K181" i="19"/>
  <c r="K179" i="19"/>
  <c r="K171" i="19"/>
  <c r="K172" i="19"/>
  <c r="K178" i="19"/>
  <c r="K173" i="19"/>
  <c r="K175" i="19"/>
  <c r="K176" i="19"/>
  <c r="K174" i="19"/>
  <c r="K180" i="19"/>
  <c r="K177" i="19"/>
  <c r="K165" i="19"/>
  <c r="K160" i="19"/>
  <c r="K163" i="19"/>
  <c r="K158" i="19"/>
  <c r="K155" i="19"/>
  <c r="K164" i="19"/>
  <c r="K159" i="19"/>
  <c r="K162" i="19"/>
  <c r="K156" i="19"/>
  <c r="K149" i="19"/>
  <c r="K147" i="19"/>
  <c r="K139" i="19"/>
  <c r="K146" i="19"/>
  <c r="K140" i="19"/>
  <c r="K144" i="19"/>
  <c r="K148" i="19"/>
  <c r="K141" i="19"/>
  <c r="K145" i="19"/>
  <c r="K143" i="19"/>
  <c r="K142" i="19"/>
  <c r="K133" i="19"/>
  <c r="K131" i="19"/>
  <c r="K130" i="19"/>
  <c r="K127" i="19"/>
  <c r="K124" i="19"/>
  <c r="K132" i="19"/>
  <c r="K128" i="19"/>
  <c r="K123" i="19"/>
  <c r="K125" i="19"/>
  <c r="K129" i="19"/>
  <c r="K126" i="19"/>
  <c r="K108" i="19"/>
  <c r="K117" i="19"/>
  <c r="K116" i="19"/>
  <c r="K110" i="19"/>
  <c r="K112" i="19"/>
  <c r="K114" i="19"/>
  <c r="K107" i="19"/>
  <c r="K109" i="19"/>
  <c r="K111" i="19"/>
  <c r="K115" i="19"/>
  <c r="K113" i="19"/>
  <c r="K99" i="19"/>
  <c r="K101" i="19"/>
  <c r="K78" i="19"/>
  <c r="N10" i="18"/>
  <c r="P10" i="18" s="1"/>
  <c r="K69" i="19"/>
  <c r="K92" i="19"/>
  <c r="K94" i="19"/>
  <c r="K98" i="19"/>
  <c r="K91" i="19"/>
  <c r="K81" i="19"/>
  <c r="K83" i="19"/>
  <c r="K65" i="19"/>
  <c r="K85" i="19"/>
  <c r="K82" i="19"/>
  <c r="K96" i="19"/>
  <c r="K100" i="19"/>
  <c r="G11" i="18"/>
  <c r="K80" i="19"/>
  <c r="K84" i="19"/>
  <c r="K63" i="19"/>
  <c r="K93" i="19"/>
  <c r="K95" i="19"/>
  <c r="K97" i="19"/>
  <c r="K75" i="19"/>
  <c r="K77" i="19"/>
  <c r="K79" i="19"/>
  <c r="K76" i="19"/>
  <c r="K59" i="19"/>
  <c r="K61" i="19"/>
  <c r="K52" i="19"/>
  <c r="K68" i="19"/>
  <c r="K18" i="19"/>
  <c r="K53" i="19"/>
  <c r="K66" i="19"/>
  <c r="K15" i="19"/>
  <c r="K64" i="19"/>
  <c r="K67" i="19"/>
  <c r="K62" i="19"/>
  <c r="C12" i="3"/>
  <c r="K12" i="19"/>
  <c r="K60" i="19"/>
  <c r="K46" i="19"/>
  <c r="K48" i="19"/>
  <c r="K44" i="19"/>
  <c r="K50" i="19"/>
  <c r="K47" i="19"/>
  <c r="K45" i="19"/>
  <c r="K49" i="19"/>
  <c r="K51" i="19"/>
  <c r="K43" i="19"/>
  <c r="K16" i="19"/>
  <c r="K20" i="19"/>
  <c r="K17" i="19"/>
  <c r="K14" i="19"/>
  <c r="K21" i="19"/>
  <c r="K11" i="19"/>
  <c r="K10" i="19"/>
  <c r="K13" i="19"/>
  <c r="K27" i="19"/>
  <c r="K28" i="19"/>
  <c r="K34" i="19"/>
  <c r="K35" i="19"/>
  <c r="K37" i="19"/>
  <c r="K30" i="19"/>
  <c r="K32" i="19"/>
  <c r="K36" i="19"/>
  <c r="K29" i="19"/>
  <c r="K31" i="19"/>
  <c r="K33" i="19"/>
  <c r="C11" i="3"/>
  <c r="G16" i="18"/>
  <c r="G10" i="18"/>
  <c r="G15" i="18"/>
  <c r="G13" i="18"/>
  <c r="G12" i="18"/>
  <c r="G14" i="18"/>
  <c r="L28" i="4"/>
  <c r="L27" i="4"/>
  <c r="L25" i="4"/>
  <c r="C4" i="3" l="1"/>
  <c r="E35" i="17" l="1"/>
  <c r="E34" i="17"/>
  <c r="E33" i="17"/>
  <c r="E32" i="17"/>
  <c r="D32" i="17"/>
  <c r="E31" i="17"/>
  <c r="D31" i="17"/>
  <c r="E30" i="17"/>
  <c r="D30" i="17"/>
  <c r="E29" i="17"/>
  <c r="D29" i="17"/>
  <c r="D28" i="17"/>
  <c r="E28" i="17" s="1"/>
  <c r="D27" i="17"/>
  <c r="E27" i="17" s="1"/>
  <c r="D26" i="17"/>
  <c r="E26" i="17" s="1"/>
  <c r="E22" i="17"/>
  <c r="E21" i="17"/>
  <c r="E20" i="17"/>
  <c r="E19" i="17"/>
  <c r="D19" i="17"/>
  <c r="E18" i="17"/>
  <c r="D18" i="17"/>
  <c r="E17" i="17"/>
  <c r="D17" i="17"/>
  <c r="E16" i="17"/>
  <c r="D16" i="17"/>
  <c r="D15" i="17"/>
  <c r="E15" i="17" s="1"/>
  <c r="D14" i="17"/>
  <c r="E14" i="17" s="1"/>
  <c r="D13" i="17"/>
  <c r="E13" i="17" s="1"/>
  <c r="D9" i="17"/>
  <c r="E9" i="17" s="1"/>
  <c r="M48" i="16"/>
  <c r="F48" i="16"/>
  <c r="M47" i="16"/>
  <c r="F47" i="16"/>
  <c r="M46" i="16"/>
  <c r="L46" i="16"/>
  <c r="F46" i="16"/>
  <c r="E46" i="16"/>
  <c r="M45" i="16"/>
  <c r="L45" i="16"/>
  <c r="F45" i="16"/>
  <c r="E45" i="16"/>
  <c r="M44" i="16"/>
  <c r="L44" i="16"/>
  <c r="F44" i="16"/>
  <c r="E44" i="16"/>
  <c r="L43" i="16"/>
  <c r="M43" i="16" s="1"/>
  <c r="E43" i="16"/>
  <c r="F43" i="16" s="1"/>
  <c r="M39" i="16"/>
  <c r="F39" i="16"/>
  <c r="M38" i="16"/>
  <c r="F38" i="16"/>
  <c r="M37" i="16"/>
  <c r="L37" i="16"/>
  <c r="F37" i="16"/>
  <c r="E37" i="16"/>
  <c r="M36" i="16"/>
  <c r="L36" i="16"/>
  <c r="F36" i="16"/>
  <c r="E36" i="16"/>
  <c r="M35" i="16"/>
  <c r="L35" i="16"/>
  <c r="F35" i="16"/>
  <c r="E35" i="16"/>
  <c r="L34" i="16"/>
  <c r="M34" i="16" s="1"/>
  <c r="E34" i="16"/>
  <c r="F34" i="16" s="1"/>
  <c r="M29" i="16"/>
  <c r="F29" i="16"/>
  <c r="M28" i="16"/>
  <c r="F28" i="16"/>
  <c r="L27" i="16"/>
  <c r="M27" i="16" s="1"/>
  <c r="E27" i="16"/>
  <c r="F27" i="16" s="1"/>
  <c r="L26" i="16"/>
  <c r="M26" i="16" s="1"/>
  <c r="E26" i="16"/>
  <c r="F26" i="16" s="1"/>
  <c r="L25" i="16"/>
  <c r="M25" i="16" s="1"/>
  <c r="E25" i="16"/>
  <c r="F25" i="16" s="1"/>
  <c r="L24" i="16"/>
  <c r="M24" i="16" s="1"/>
  <c r="E24" i="16"/>
  <c r="F24" i="16" s="1"/>
  <c r="M20" i="16"/>
  <c r="F20" i="16"/>
  <c r="M19" i="16"/>
  <c r="F19" i="16"/>
  <c r="L18" i="16" a="1"/>
  <c r="L18" i="16" s="1"/>
  <c r="M18" i="16" s="1"/>
  <c r="E18" i="16" a="1"/>
  <c r="E18" i="16" s="1"/>
  <c r="F18" i="16" s="1"/>
  <c r="L17" i="16" a="1"/>
  <c r="L17" i="16" s="1"/>
  <c r="M17" i="16" s="1"/>
  <c r="E17" i="16" a="1"/>
  <c r="E17" i="16" s="1"/>
  <c r="F17" i="16" s="1"/>
  <c r="L16" i="16" a="1"/>
  <c r="L16" i="16" s="1"/>
  <c r="M16" i="16" s="1"/>
  <c r="E16" i="16" a="1"/>
  <c r="E16" i="16" s="1"/>
  <c r="F16" i="16" s="1"/>
  <c r="L15" i="16" a="1"/>
  <c r="L15" i="16" s="1"/>
  <c r="M15" i="16" s="1"/>
  <c r="E15" i="16" a="1"/>
  <c r="E15" i="16" s="1"/>
  <c r="F15" i="16" s="1"/>
  <c r="L14" i="16" a="1"/>
  <c r="L14" i="16" s="1"/>
  <c r="M14" i="16" s="1"/>
  <c r="E14" i="16" a="1"/>
  <c r="E14" i="16" s="1"/>
  <c r="F14" i="16" s="1"/>
  <c r="J23" i="2"/>
  <c r="J24" i="2"/>
  <c r="J25" i="2"/>
  <c r="K39" i="4" s="1"/>
  <c r="L39" i="4" s="1"/>
  <c r="E12" i="12"/>
  <c r="E13" i="12"/>
  <c r="E14" i="12"/>
  <c r="E15" i="12"/>
  <c r="E16" i="12"/>
  <c r="E17" i="12"/>
  <c r="E18" i="12"/>
  <c r="D10" i="12"/>
  <c r="E10" i="12" s="1"/>
  <c r="D11" i="12"/>
  <c r="E11" i="12" s="1"/>
  <c r="D12" i="12"/>
  <c r="D13" i="12"/>
  <c r="D14" i="12"/>
  <c r="D15" i="12"/>
  <c r="D16" i="12"/>
  <c r="D9" i="12"/>
  <c r="E9" i="12" s="1"/>
  <c r="C23" i="3" l="1"/>
  <c r="C25" i="3"/>
  <c r="C6" i="3"/>
  <c r="C24" i="3"/>
  <c r="L11" i="11" a="1"/>
  <c r="L11" i="11" s="1"/>
  <c r="M11" i="11" s="1"/>
  <c r="M45" i="11"/>
  <c r="F45" i="11"/>
  <c r="M44" i="11"/>
  <c r="F44" i="11"/>
  <c r="M43" i="11"/>
  <c r="L43" i="11"/>
  <c r="F43" i="11"/>
  <c r="E43" i="11"/>
  <c r="M42" i="11"/>
  <c r="L42" i="11"/>
  <c r="F42" i="11"/>
  <c r="E42" i="11"/>
  <c r="M41" i="11"/>
  <c r="L41" i="11"/>
  <c r="F41" i="11"/>
  <c r="E41" i="11"/>
  <c r="L40" i="11"/>
  <c r="M40" i="11" s="1"/>
  <c r="E40" i="11"/>
  <c r="F40" i="11" s="1"/>
  <c r="M36" i="11"/>
  <c r="F36" i="11"/>
  <c r="M35" i="11"/>
  <c r="F35" i="11"/>
  <c r="M34" i="11"/>
  <c r="L34" i="11"/>
  <c r="F34" i="11"/>
  <c r="E34" i="11"/>
  <c r="M33" i="11"/>
  <c r="L33" i="11"/>
  <c r="F33" i="11"/>
  <c r="E33" i="11"/>
  <c r="M32" i="11"/>
  <c r="L32" i="11"/>
  <c r="F32" i="11"/>
  <c r="E32" i="11"/>
  <c r="L31" i="11"/>
  <c r="M31" i="11" s="1"/>
  <c r="E31" i="11"/>
  <c r="F31" i="11" s="1"/>
  <c r="M26" i="11"/>
  <c r="F26" i="11"/>
  <c r="M25" i="11"/>
  <c r="F25" i="11"/>
  <c r="L24" i="11"/>
  <c r="M24" i="11" s="1"/>
  <c r="E24" i="11"/>
  <c r="F24" i="11" s="1"/>
  <c r="L23" i="11"/>
  <c r="M23" i="11" s="1"/>
  <c r="E23" i="11"/>
  <c r="F23" i="11" s="1"/>
  <c r="L22" i="11"/>
  <c r="M22" i="11" s="1"/>
  <c r="E22" i="11"/>
  <c r="F22" i="11" s="1"/>
  <c r="L21" i="11"/>
  <c r="M21" i="11" s="1"/>
  <c r="E21" i="11"/>
  <c r="F21" i="11" s="1"/>
  <c r="M17" i="11"/>
  <c r="F17" i="11"/>
  <c r="M16" i="11"/>
  <c r="F16" i="11"/>
  <c r="L15" i="11" a="1"/>
  <c r="L15" i="11" s="1"/>
  <c r="M15" i="11" s="1"/>
  <c r="E15" i="11" a="1"/>
  <c r="E15" i="11" s="1"/>
  <c r="F15" i="11" s="1"/>
  <c r="L14" i="11" a="1"/>
  <c r="L14" i="11" s="1"/>
  <c r="M14" i="11" s="1"/>
  <c r="E14" i="11" a="1"/>
  <c r="E14" i="11" s="1"/>
  <c r="F14" i="11" s="1"/>
  <c r="L13" i="11" a="1"/>
  <c r="L13" i="11" s="1"/>
  <c r="M13" i="11" s="1"/>
  <c r="E13" i="11" a="1"/>
  <c r="E13" i="11" s="1"/>
  <c r="F13" i="11" s="1"/>
  <c r="L12" i="11" a="1"/>
  <c r="L12" i="11" s="1"/>
  <c r="M12" i="11" s="1"/>
  <c r="E12" i="11" a="1"/>
  <c r="E12" i="11" s="1"/>
  <c r="F12" i="11" s="1"/>
  <c r="E11" i="11" a="1"/>
  <c r="E11" i="11" s="1"/>
  <c r="F11" i="11" s="1"/>
  <c r="E10" i="7" a="1"/>
  <c r="E10" i="7" s="1"/>
  <c r="C28" i="3" l="1"/>
  <c r="C27" i="3"/>
  <c r="O58" i="10"/>
  <c r="O57" i="10"/>
  <c r="O56" i="10"/>
  <c r="N56" i="10"/>
  <c r="O55" i="10"/>
  <c r="N55" i="10"/>
  <c r="O54" i="10"/>
  <c r="N54" i="10"/>
  <c r="O53" i="10"/>
  <c r="N53" i="10"/>
  <c r="O52" i="10"/>
  <c r="N52" i="10"/>
  <c r="O51" i="10"/>
  <c r="N51" i="10"/>
  <c r="N50" i="10"/>
  <c r="O50" i="10" s="1"/>
  <c r="N49" i="10"/>
  <c r="O49" i="10" s="1"/>
  <c r="O45" i="10"/>
  <c r="O44" i="10"/>
  <c r="O43" i="10"/>
  <c r="N43" i="10"/>
  <c r="O42" i="10"/>
  <c r="N42" i="10"/>
  <c r="O41" i="10"/>
  <c r="N41" i="10"/>
  <c r="O40" i="10"/>
  <c r="N40" i="10"/>
  <c r="O39" i="10"/>
  <c r="N39" i="10"/>
  <c r="O38" i="10"/>
  <c r="N38" i="10"/>
  <c r="N37" i="10"/>
  <c r="O37" i="10" s="1"/>
  <c r="N36" i="10"/>
  <c r="O36" i="10" s="1"/>
  <c r="O32" i="10"/>
  <c r="O31" i="10"/>
  <c r="O30" i="10"/>
  <c r="N30" i="10"/>
  <c r="O29" i="10"/>
  <c r="N29" i="10"/>
  <c r="O28" i="10"/>
  <c r="N28" i="10"/>
  <c r="O27" i="10"/>
  <c r="N27" i="10"/>
  <c r="O26" i="10"/>
  <c r="N26" i="10"/>
  <c r="O25" i="10"/>
  <c r="N25" i="10"/>
  <c r="N24" i="10"/>
  <c r="O24" i="10" s="1"/>
  <c r="N23" i="10"/>
  <c r="O23" i="10" s="1"/>
  <c r="O19" i="10"/>
  <c r="O18" i="10"/>
  <c r="O17" i="10"/>
  <c r="N17" i="10"/>
  <c r="O16" i="10"/>
  <c r="N16" i="10"/>
  <c r="O15" i="10"/>
  <c r="N15" i="10"/>
  <c r="O14" i="10"/>
  <c r="N14" i="10"/>
  <c r="O13" i="10"/>
  <c r="N13" i="10"/>
  <c r="N12" i="10"/>
  <c r="O12" i="10" s="1"/>
  <c r="N11" i="10"/>
  <c r="O11" i="10" s="1"/>
  <c r="N10" i="10"/>
  <c r="O10" i="10" s="1"/>
  <c r="F25" i="10"/>
  <c r="F26" i="10"/>
  <c r="F27" i="10"/>
  <c r="F28" i="10"/>
  <c r="F29" i="10"/>
  <c r="F30" i="10"/>
  <c r="F31" i="10"/>
  <c r="F32" i="10"/>
  <c r="F45" i="10"/>
  <c r="F38" i="10"/>
  <c r="F39" i="10"/>
  <c r="F40" i="10"/>
  <c r="F41" i="10"/>
  <c r="F42" i="10"/>
  <c r="F43" i="10"/>
  <c r="F44" i="10"/>
  <c r="F51" i="10"/>
  <c r="F52" i="10"/>
  <c r="F53" i="10"/>
  <c r="F54" i="10"/>
  <c r="F55" i="10"/>
  <c r="F56" i="10"/>
  <c r="F57" i="10"/>
  <c r="F58" i="10"/>
  <c r="E50" i="10"/>
  <c r="F50" i="10" s="1"/>
  <c r="E51" i="10"/>
  <c r="E52" i="10"/>
  <c r="E53" i="10"/>
  <c r="E54" i="10"/>
  <c r="E55" i="10"/>
  <c r="E56" i="10"/>
  <c r="E49" i="10"/>
  <c r="F49" i="10" s="1"/>
  <c r="E37" i="10"/>
  <c r="F37" i="10" s="1"/>
  <c r="E38" i="10"/>
  <c r="E39" i="10"/>
  <c r="E40" i="10"/>
  <c r="E41" i="10"/>
  <c r="E42" i="10"/>
  <c r="E43" i="10"/>
  <c r="E36" i="10"/>
  <c r="F36" i="10" s="1"/>
  <c r="E11" i="10"/>
  <c r="F11" i="10" s="1"/>
  <c r="E12" i="10"/>
  <c r="F12" i="10" s="1"/>
  <c r="E13" i="10"/>
  <c r="E14" i="10"/>
  <c r="E15" i="10"/>
  <c r="E16" i="10"/>
  <c r="E17" i="10"/>
  <c r="E10" i="10"/>
  <c r="F10" i="10" s="1"/>
  <c r="E24" i="10"/>
  <c r="F24" i="10" s="1"/>
  <c r="E25" i="10"/>
  <c r="E26" i="10"/>
  <c r="E27" i="10"/>
  <c r="E28" i="10"/>
  <c r="E29" i="10"/>
  <c r="E30" i="10"/>
  <c r="E23" i="10"/>
  <c r="F23" i="10" s="1"/>
  <c r="F19" i="10"/>
  <c r="F18" i="10"/>
  <c r="F17" i="10"/>
  <c r="F16" i="10"/>
  <c r="F15" i="10"/>
  <c r="F14" i="10"/>
  <c r="F13" i="10"/>
  <c r="C17" i="3" l="1"/>
  <c r="C22" i="3"/>
  <c r="O58" i="9"/>
  <c r="O57" i="9"/>
  <c r="O56" i="9"/>
  <c r="N56" i="9"/>
  <c r="O55" i="9"/>
  <c r="N55" i="9"/>
  <c r="O54" i="9"/>
  <c r="N54" i="9"/>
  <c r="O53" i="9"/>
  <c r="N53" i="9"/>
  <c r="O52" i="9"/>
  <c r="N52" i="9"/>
  <c r="O51" i="9"/>
  <c r="N51" i="9"/>
  <c r="N50" i="9"/>
  <c r="O50" i="9" s="1"/>
  <c r="N49" i="9"/>
  <c r="O49" i="9" s="1"/>
  <c r="O45" i="9"/>
  <c r="O44" i="9"/>
  <c r="O43" i="9"/>
  <c r="N43" i="9"/>
  <c r="O42" i="9"/>
  <c r="N42" i="9"/>
  <c r="O41" i="9"/>
  <c r="N41" i="9"/>
  <c r="O40" i="9"/>
  <c r="N40" i="9"/>
  <c r="O39" i="9"/>
  <c r="N39" i="9"/>
  <c r="O38" i="9"/>
  <c r="N38" i="9"/>
  <c r="N37" i="9"/>
  <c r="O37" i="9" s="1"/>
  <c r="N36" i="9"/>
  <c r="O36" i="9" s="1"/>
  <c r="O32" i="9"/>
  <c r="O31" i="9"/>
  <c r="O30" i="9"/>
  <c r="N30" i="9"/>
  <c r="O29" i="9"/>
  <c r="N29" i="9"/>
  <c r="O28" i="9"/>
  <c r="N28" i="9"/>
  <c r="O27" i="9"/>
  <c r="N27" i="9"/>
  <c r="O26" i="9"/>
  <c r="N26" i="9"/>
  <c r="O25" i="9"/>
  <c r="N25" i="9"/>
  <c r="N24" i="9"/>
  <c r="O24" i="9" s="1"/>
  <c r="N23" i="9"/>
  <c r="O23" i="9" s="1"/>
  <c r="M17" i="9"/>
  <c r="M16" i="9"/>
  <c r="M15" i="9"/>
  <c r="M14" i="9"/>
  <c r="M13" i="9"/>
  <c r="M12" i="9"/>
  <c r="N12" i="9" s="1"/>
  <c r="M11" i="9"/>
  <c r="N11" i="9" s="1"/>
  <c r="M10" i="9"/>
  <c r="N10" i="9" s="1"/>
  <c r="E50" i="9"/>
  <c r="F50" i="9" s="1"/>
  <c r="E51" i="9"/>
  <c r="E52" i="9"/>
  <c r="E53" i="9"/>
  <c r="E54" i="9"/>
  <c r="E55" i="9"/>
  <c r="E56" i="9"/>
  <c r="E49" i="9"/>
  <c r="F49" i="9" s="1"/>
  <c r="F58" i="9"/>
  <c r="F57" i="9"/>
  <c r="F56" i="9"/>
  <c r="F55" i="9"/>
  <c r="F54" i="9"/>
  <c r="F53" i="9"/>
  <c r="F52" i="9"/>
  <c r="F51" i="9"/>
  <c r="E37" i="9"/>
  <c r="F37" i="9" s="1"/>
  <c r="E38" i="9"/>
  <c r="E39" i="9"/>
  <c r="E40" i="9"/>
  <c r="E41" i="9"/>
  <c r="E42" i="9"/>
  <c r="E43" i="9"/>
  <c r="F36" i="9"/>
  <c r="F45" i="9"/>
  <c r="F44" i="9"/>
  <c r="F43" i="9"/>
  <c r="F42" i="9"/>
  <c r="F41" i="9"/>
  <c r="F40" i="9"/>
  <c r="F39" i="9"/>
  <c r="F38" i="9"/>
  <c r="E24" i="9"/>
  <c r="F24" i="9" s="1"/>
  <c r="E25" i="9"/>
  <c r="E26" i="9"/>
  <c r="E27" i="9"/>
  <c r="E28" i="9"/>
  <c r="E29" i="9"/>
  <c r="E30" i="9"/>
  <c r="E23" i="9"/>
  <c r="F23" i="9" s="1"/>
  <c r="E10" i="9"/>
  <c r="E11" i="9"/>
  <c r="E12" i="9"/>
  <c r="D15" i="9"/>
  <c r="D16" i="9"/>
  <c r="D17" i="9"/>
  <c r="F32" i="9"/>
  <c r="F31" i="9"/>
  <c r="F30" i="9"/>
  <c r="F29" i="9"/>
  <c r="F28" i="9"/>
  <c r="F27" i="9"/>
  <c r="F26" i="9"/>
  <c r="F25" i="9"/>
  <c r="C20" i="3" l="1"/>
  <c r="C19" i="3"/>
  <c r="L24" i="7" l="1"/>
  <c r="L25" i="7"/>
  <c r="L26" i="7"/>
  <c r="K24" i="7"/>
  <c r="M24" i="7" s="1"/>
  <c r="K25" i="7"/>
  <c r="M25" i="7" s="1"/>
  <c r="K26" i="7"/>
  <c r="M26" i="7" s="1"/>
  <c r="E12" i="8" a="1"/>
  <c r="E12" i="8" s="1"/>
  <c r="F12" i="8" s="1"/>
  <c r="E13" i="8" a="1"/>
  <c r="E13" i="8" s="1"/>
  <c r="F13" i="8" s="1"/>
  <c r="E14" i="8" a="1"/>
  <c r="E14" i="8" s="1"/>
  <c r="F14" i="8" s="1"/>
  <c r="E15" i="8" a="1"/>
  <c r="E15" i="8" s="1"/>
  <c r="F15" i="8" s="1"/>
  <c r="F16" i="8"/>
  <c r="F17" i="8"/>
  <c r="E11" i="8" a="1"/>
  <c r="E11" i="8" s="1"/>
  <c r="F11" i="8" s="1"/>
  <c r="L12" i="8" a="1"/>
  <c r="L12" i="8" s="1"/>
  <c r="M12" i="8" s="1"/>
  <c r="L13" i="8" a="1"/>
  <c r="L13" i="8" s="1"/>
  <c r="M13" i="8" s="1"/>
  <c r="L14" i="8" a="1"/>
  <c r="L14" i="8" s="1"/>
  <c r="M14" i="8" s="1"/>
  <c r="L15" i="8" a="1"/>
  <c r="L15" i="8" s="1"/>
  <c r="M15" i="8" s="1"/>
  <c r="M16" i="8"/>
  <c r="M17" i="8"/>
  <c r="L11" i="8" a="1"/>
  <c r="L11" i="8" s="1"/>
  <c r="M11" i="8" s="1"/>
  <c r="L45" i="8"/>
  <c r="L44" i="8"/>
  <c r="L43" i="8"/>
  <c r="K43" i="8"/>
  <c r="L42" i="8"/>
  <c r="K42" i="8"/>
  <c r="L41" i="8"/>
  <c r="K41" i="8"/>
  <c r="K40" i="8"/>
  <c r="L40" i="8" s="1"/>
  <c r="L36" i="8"/>
  <c r="L35" i="8"/>
  <c r="L34" i="8"/>
  <c r="K34" i="8"/>
  <c r="L33" i="8"/>
  <c r="K33" i="8"/>
  <c r="L32" i="8"/>
  <c r="K32" i="8"/>
  <c r="K31" i="8"/>
  <c r="L31" i="8" s="1"/>
  <c r="L26" i="8"/>
  <c r="L25" i="8"/>
  <c r="K24" i="8"/>
  <c r="L24" i="8" s="1"/>
  <c r="K23" i="8"/>
  <c r="L23" i="8" s="1"/>
  <c r="K22" i="8"/>
  <c r="L22" i="8" s="1"/>
  <c r="K21" i="8"/>
  <c r="L21" i="8" s="1"/>
  <c r="E45" i="8"/>
  <c r="E44" i="8"/>
  <c r="E43" i="8"/>
  <c r="D43" i="8"/>
  <c r="E42" i="8"/>
  <c r="D42" i="8"/>
  <c r="E41" i="8"/>
  <c r="D41" i="8"/>
  <c r="D40" i="8"/>
  <c r="E40" i="8" s="1"/>
  <c r="E36" i="8"/>
  <c r="E35" i="8"/>
  <c r="E34" i="8"/>
  <c r="D34" i="8"/>
  <c r="E33" i="8"/>
  <c r="D33" i="8"/>
  <c r="E32" i="8"/>
  <c r="D32" i="8"/>
  <c r="D31" i="8"/>
  <c r="E31" i="8" s="1"/>
  <c r="E26" i="8"/>
  <c r="E25" i="8"/>
  <c r="D24" i="8"/>
  <c r="E24" i="8" s="1"/>
  <c r="D23" i="8"/>
  <c r="E23" i="8" s="1"/>
  <c r="E22" i="8"/>
  <c r="E21" i="8"/>
  <c r="D12" i="4"/>
  <c r="L23" i="7"/>
  <c r="K23" i="7"/>
  <c r="M23" i="7" s="1"/>
  <c r="C21" i="3" l="1"/>
  <c r="N24" i="7"/>
  <c r="N26" i="7"/>
  <c r="N23" i="7"/>
  <c r="N25" i="7"/>
  <c r="C26" i="3"/>
  <c r="J10" i="7"/>
  <c r="F20" i="5" a="1"/>
  <c r="F20" i="5" s="1"/>
  <c r="F21" i="5" a="1"/>
  <c r="F21" i="5" s="1"/>
  <c r="B84" i="2" l="1"/>
  <c r="N29" i="5" s="1"/>
  <c r="B83" i="2"/>
  <c r="B82" i="2"/>
  <c r="G20" i="5"/>
  <c r="B56" i="2"/>
  <c r="B54" i="2"/>
  <c r="B53" i="2"/>
  <c r="B52" i="2"/>
  <c r="B51" i="2"/>
  <c r="B50" i="2"/>
  <c r="B49" i="2"/>
  <c r="B48" i="2"/>
  <c r="B47" i="2"/>
  <c r="D9" i="1" s="1"/>
  <c r="E9" i="1" s="1"/>
  <c r="K46" i="2"/>
  <c r="B46" i="2"/>
  <c r="B45" i="2"/>
  <c r="N44" i="2"/>
  <c r="B44" i="2"/>
  <c r="B43" i="2"/>
  <c r="B42" i="2"/>
  <c r="D10" i="1" s="1"/>
  <c r="E10" i="1" s="1"/>
  <c r="B41" i="2"/>
  <c r="B40" i="2"/>
  <c r="B39" i="2"/>
  <c r="B38" i="2"/>
  <c r="B37" i="2"/>
  <c r="B36" i="2"/>
  <c r="N35" i="2"/>
  <c r="K35" i="2"/>
  <c r="B35" i="2"/>
  <c r="B34" i="2"/>
  <c r="B33" i="2"/>
  <c r="B32" i="2"/>
  <c r="B31" i="2"/>
  <c r="B30" i="2"/>
  <c r="B29" i="2"/>
  <c r="B28" i="2"/>
  <c r="B27" i="2"/>
  <c r="B26" i="2"/>
  <c r="B25" i="2"/>
  <c r="B24" i="2"/>
  <c r="F39" i="2"/>
  <c r="B23" i="2"/>
  <c r="B22" i="2"/>
  <c r="B21" i="2"/>
  <c r="B20" i="2"/>
  <c r="F25" i="2"/>
  <c r="K13" i="4" s="1"/>
  <c r="L13" i="4" s="1"/>
  <c r="B19" i="2"/>
  <c r="F24" i="2"/>
  <c r="B18" i="2"/>
  <c r="F23" i="2"/>
  <c r="B17" i="2"/>
  <c r="B16" i="2"/>
  <c r="B14" i="2"/>
  <c r="B13" i="2"/>
  <c r="B12" i="2"/>
  <c r="B11" i="2"/>
  <c r="D11" i="1" s="1"/>
  <c r="E11" i="1" s="1"/>
  <c r="B10" i="2"/>
  <c r="B9" i="2"/>
  <c r="B8" i="2"/>
  <c r="B7" i="2"/>
  <c r="B6" i="2"/>
  <c r="B5" i="2"/>
  <c r="D8" i="1" s="1"/>
  <c r="E8" i="1" s="1"/>
  <c r="B4" i="2"/>
  <c r="B3" i="2"/>
  <c r="E32" i="1"/>
  <c r="E31" i="1"/>
  <c r="E30" i="1"/>
  <c r="E29" i="1"/>
  <c r="E28" i="1"/>
  <c r="E27" i="1"/>
  <c r="D27" i="1"/>
  <c r="E26" i="1"/>
  <c r="D26" i="1"/>
  <c r="J25" i="1"/>
  <c r="E25" i="1"/>
  <c r="D25" i="1"/>
  <c r="J24" i="1"/>
  <c r="E24" i="1"/>
  <c r="D24" i="1"/>
  <c r="J23" i="1"/>
  <c r="E23" i="1"/>
  <c r="D23" i="1"/>
  <c r="J22" i="1"/>
  <c r="E22" i="1"/>
  <c r="D22" i="1"/>
  <c r="J21" i="1"/>
  <c r="I21" i="1"/>
  <c r="E21" i="1"/>
  <c r="D21" i="1"/>
  <c r="J20" i="1"/>
  <c r="I20" i="1"/>
  <c r="E20" i="1"/>
  <c r="D20" i="1"/>
  <c r="J19" i="1"/>
  <c r="I19" i="1"/>
  <c r="E19" i="1"/>
  <c r="D19" i="1"/>
  <c r="J18" i="1"/>
  <c r="I18" i="1"/>
  <c r="E18" i="1"/>
  <c r="D18" i="1"/>
  <c r="J17" i="1"/>
  <c r="I17" i="1"/>
  <c r="E17" i="1"/>
  <c r="D17" i="1"/>
  <c r="J16" i="1"/>
  <c r="I16" i="1"/>
  <c r="E16" i="1"/>
  <c r="D16" i="1"/>
  <c r="J15" i="1"/>
  <c r="I15" i="1"/>
  <c r="E15" i="1"/>
  <c r="D15" i="1"/>
  <c r="J14" i="1"/>
  <c r="I14" i="1"/>
  <c r="E14" i="1"/>
  <c r="D14" i="1"/>
  <c r="J13" i="1"/>
  <c r="I13" i="1"/>
  <c r="E13" i="1"/>
  <c r="D13" i="1"/>
  <c r="J12" i="1"/>
  <c r="I12" i="1"/>
  <c r="E12" i="1"/>
  <c r="D12" i="1"/>
  <c r="J11" i="1"/>
  <c r="I11" i="1"/>
  <c r="J10" i="1"/>
  <c r="I10" i="1"/>
  <c r="I9" i="1"/>
  <c r="J9" i="1" s="1"/>
  <c r="I8" i="1"/>
  <c r="J8" i="1" s="1"/>
  <c r="M43" i="6"/>
  <c r="M42" i="6"/>
  <c r="M41" i="6"/>
  <c r="L41" i="6"/>
  <c r="M40" i="6"/>
  <c r="L40" i="6"/>
  <c r="M39" i="6"/>
  <c r="L39" i="6"/>
  <c r="L38" i="6"/>
  <c r="M38" i="6" s="1"/>
  <c r="E35" i="6"/>
  <c r="M34" i="6"/>
  <c r="E34" i="6"/>
  <c r="M33" i="6"/>
  <c r="E33" i="6"/>
  <c r="D33" i="6"/>
  <c r="M32" i="6"/>
  <c r="L32" i="6"/>
  <c r="E32" i="6"/>
  <c r="D32" i="6"/>
  <c r="M31" i="6"/>
  <c r="L31" i="6"/>
  <c r="E31" i="6"/>
  <c r="D31" i="6"/>
  <c r="M30" i="6"/>
  <c r="L30" i="6"/>
  <c r="E30" i="6"/>
  <c r="D30" i="6"/>
  <c r="L29" i="6"/>
  <c r="M29" i="6" s="1"/>
  <c r="E29" i="6"/>
  <c r="D29" i="6"/>
  <c r="D28" i="6"/>
  <c r="E28" i="6" s="1"/>
  <c r="D27" i="6"/>
  <c r="E27" i="6" s="1"/>
  <c r="D26" i="6"/>
  <c r="E26" i="6" s="1"/>
  <c r="M25" i="6"/>
  <c r="M24" i="6"/>
  <c r="M23" i="6"/>
  <c r="L23" i="6"/>
  <c r="M22" i="6"/>
  <c r="L22" i="6"/>
  <c r="E22" i="6"/>
  <c r="M21" i="6"/>
  <c r="L21" i="6"/>
  <c r="E21" i="6"/>
  <c r="L20" i="6"/>
  <c r="M20" i="6" s="1"/>
  <c r="E20" i="6"/>
  <c r="D20" i="6"/>
  <c r="E19" i="6"/>
  <c r="D19" i="6"/>
  <c r="E18" i="6"/>
  <c r="D18" i="6"/>
  <c r="E17" i="6"/>
  <c r="D17" i="6"/>
  <c r="M16" i="6"/>
  <c r="E16" i="6"/>
  <c r="D16" i="6"/>
  <c r="M15" i="6"/>
  <c r="D15" i="6"/>
  <c r="E15" i="6" s="1"/>
  <c r="M14" i="6"/>
  <c r="L14" i="6"/>
  <c r="D14" i="6"/>
  <c r="E14" i="6" s="1"/>
  <c r="M13" i="6"/>
  <c r="L13" i="6"/>
  <c r="D13" i="6"/>
  <c r="E13" i="6" s="1"/>
  <c r="L12" i="6"/>
  <c r="M12" i="6" s="1"/>
  <c r="L11" i="6"/>
  <c r="M11" i="6" s="1"/>
  <c r="L10" i="6"/>
  <c r="M10" i="6" s="1"/>
  <c r="L9" i="6"/>
  <c r="M9" i="6" s="1"/>
  <c r="D9" i="6"/>
  <c r="E9" i="6" s="1"/>
  <c r="F23" i="5" a="1"/>
  <c r="F23" i="5" s="1"/>
  <c r="G23" i="5" s="1"/>
  <c r="F22" i="5" a="1"/>
  <c r="F22" i="5" s="1"/>
  <c r="G22" i="5" s="1"/>
  <c r="G21" i="5"/>
  <c r="N17" i="5"/>
  <c r="E17" i="5"/>
  <c r="N16" i="5"/>
  <c r="E16" i="5"/>
  <c r="N15" i="5"/>
  <c r="M15" i="5"/>
  <c r="E15" i="5"/>
  <c r="D15" i="5"/>
  <c r="N14" i="5"/>
  <c r="M14" i="5"/>
  <c r="E14" i="5"/>
  <c r="D14" i="5"/>
  <c r="N13" i="5"/>
  <c r="M13" i="5"/>
  <c r="E13" i="5"/>
  <c r="N12" i="5"/>
  <c r="M12" i="5"/>
  <c r="E12" i="5"/>
  <c r="E11" i="5"/>
  <c r="E33" i="4"/>
  <c r="E32" i="4"/>
  <c r="E31" i="4"/>
  <c r="D31" i="4"/>
  <c r="E30" i="4"/>
  <c r="D30" i="4"/>
  <c r="E29" i="4"/>
  <c r="D29" i="4"/>
  <c r="D28" i="4"/>
  <c r="E28" i="4" s="1"/>
  <c r="D27" i="4"/>
  <c r="E27" i="4" s="1"/>
  <c r="D26" i="4"/>
  <c r="E26" i="4" s="1"/>
  <c r="D25" i="4"/>
  <c r="E25" i="4" s="1"/>
  <c r="E20" i="4"/>
  <c r="E19" i="4"/>
  <c r="E18" i="4"/>
  <c r="D18" i="4"/>
  <c r="E17" i="4"/>
  <c r="D17" i="4"/>
  <c r="L16" i="4"/>
  <c r="K16" i="4"/>
  <c r="E16" i="4"/>
  <c r="D16" i="4"/>
  <c r="L15" i="4"/>
  <c r="K15" i="4"/>
  <c r="E15" i="4"/>
  <c r="D15" i="4"/>
  <c r="L14" i="4"/>
  <c r="K14" i="4"/>
  <c r="E14" i="4"/>
  <c r="D14" i="4"/>
  <c r="D13" i="4"/>
  <c r="E13" i="4" s="1"/>
  <c r="E12" i="4"/>
  <c r="E26" i="7"/>
  <c r="F26" i="7" s="1"/>
  <c r="E25" i="7"/>
  <c r="F25" i="7" s="1"/>
  <c r="E24" i="7"/>
  <c r="F24" i="7" s="1"/>
  <c r="F23" i="7"/>
  <c r="F18" i="7"/>
  <c r="F17" i="7"/>
  <c r="L14" i="7"/>
  <c r="K14" i="7"/>
  <c r="J14" i="7"/>
  <c r="E14" i="7" a="1"/>
  <c r="E14" i="7" s="1"/>
  <c r="F14" i="7" s="1"/>
  <c r="L13" i="7"/>
  <c r="K13" i="7"/>
  <c r="J13" i="7"/>
  <c r="E13" i="7" a="1"/>
  <c r="E13" i="7" s="1"/>
  <c r="F13" i="7" s="1"/>
  <c r="L12" i="7"/>
  <c r="K12" i="7"/>
  <c r="J12" i="7"/>
  <c r="E12" i="7" a="1"/>
  <c r="E12" i="7" s="1"/>
  <c r="F12" i="7" s="1"/>
  <c r="L11" i="7"/>
  <c r="K11" i="7"/>
  <c r="J11" i="7"/>
  <c r="E11" i="7" a="1"/>
  <c r="E11" i="7" s="1"/>
  <c r="F11" i="7" s="1"/>
  <c r="L10" i="7"/>
  <c r="F10" i="7"/>
  <c r="C14" i="3" l="1"/>
  <c r="M11" i="5"/>
  <c r="N11" i="5" s="1"/>
  <c r="C5" i="3"/>
  <c r="C3" i="3" s="1"/>
  <c r="C9" i="3"/>
  <c r="C10" i="3"/>
  <c r="C8" i="3"/>
  <c r="M12" i="7" a="1"/>
  <c r="M12" i="7" s="1"/>
  <c r="N12" i="7" s="1"/>
  <c r="M13" i="7" a="1"/>
  <c r="M13" i="7" s="1"/>
  <c r="N13" i="7" s="1"/>
  <c r="N17" i="7"/>
  <c r="M14" i="7" a="1"/>
  <c r="M14" i="7" s="1"/>
  <c r="N14" i="7" s="1"/>
  <c r="N18" i="7"/>
  <c r="M10" i="7" a="1"/>
  <c r="M10" i="7" s="1"/>
  <c r="N10" i="7" s="1"/>
  <c r="M11" i="7" a="1"/>
  <c r="M11" i="7" s="1"/>
  <c r="N11" i="7" s="1"/>
  <c r="K12" i="4"/>
  <c r="L12" i="4" s="1"/>
  <c r="C18" i="3"/>
  <c r="C29" i="3" l="1"/>
  <c r="C7" i="3"/>
  <c r="C13"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<sst xmlns="http://schemas.openxmlformats.org/spreadsheetml/2006/main" count="3498" uniqueCount="1174">
  <si>
    <t>Sähkö</t>
  </si>
  <si>
    <t>Ruoka-aine</t>
  </si>
  <si>
    <r>
      <t>CO</t>
    </r>
    <r>
      <rPr>
        <b/>
        <vertAlign val="subscript"/>
        <sz val="11"/>
        <color theme="1"/>
        <rFont val="Calibri"/>
        <family val="2"/>
        <scheme val="minor"/>
      </rPr>
      <t>2</t>
    </r>
    <r>
      <rPr>
        <b/>
        <sz val="11"/>
        <color theme="1"/>
        <rFont val="Calibri"/>
        <family val="2"/>
        <scheme val="minor"/>
      </rPr>
      <t>e kg/kg</t>
    </r>
  </si>
  <si>
    <t>Herneet, pavut ja linssit</t>
  </si>
  <si>
    <t>Juurekset</t>
  </si>
  <si>
    <t>Marjat</t>
  </si>
  <si>
    <t>Salaatti</t>
  </si>
  <si>
    <t>Kaali</t>
  </si>
  <si>
    <t>Sienet</t>
  </si>
  <si>
    <t>Tomaatit ja kurkut</t>
  </si>
  <si>
    <t>Sipuli</t>
  </si>
  <si>
    <t>Banaani</t>
  </si>
  <si>
    <t>Sitrushedelmä, omena ja päärynä</t>
  </si>
  <si>
    <t>Muut hedelmät</t>
  </si>
  <si>
    <t>Muut vihannekset</t>
  </si>
  <si>
    <t>Jäätelö</t>
  </si>
  <si>
    <t>Pähkinät ja siemenet</t>
  </si>
  <si>
    <t>Sipsit ja naposteltavat</t>
  </si>
  <si>
    <t>Suklaa ja muut makeiset</t>
  </si>
  <si>
    <t>Juomat</t>
  </si>
  <si>
    <t>Kaakao</t>
  </si>
  <si>
    <t>Kahvi</t>
  </si>
  <si>
    <t>Pikakahvi</t>
  </si>
  <si>
    <t>Mehut ja kausijuomat</t>
  </si>
  <si>
    <t>Tee</t>
  </si>
  <si>
    <t>Virvoitus- ja energiajuomat</t>
  </si>
  <si>
    <t>Tuore kala</t>
  </si>
  <si>
    <t>Pyydetty kotimainen kala</t>
  </si>
  <si>
    <t>Kasvatettu kotimainen kala</t>
  </si>
  <si>
    <t>Silli, ulkomainen</t>
  </si>
  <si>
    <t>Lohi ja taimen, ulkomainen, kasvatettu</t>
  </si>
  <si>
    <t>Kalajalosteet, äyriäiset, nilviäiset</t>
  </si>
  <si>
    <t>Kananmuna</t>
  </si>
  <si>
    <t>Maitotuotteita korvaavat kasvituotteet</t>
  </si>
  <si>
    <t>Vegaaniset kasviproteiinit</t>
  </si>
  <si>
    <t>Broileri</t>
  </si>
  <si>
    <t>Lammas</t>
  </si>
  <si>
    <t>Lihajalosteet</t>
  </si>
  <si>
    <t>Nauta</t>
  </si>
  <si>
    <t>Porsas</t>
  </si>
  <si>
    <t>Valmisruoka ja einekset</t>
  </si>
  <si>
    <t>Jogurtti</t>
  </si>
  <si>
    <t>Juusto</t>
  </si>
  <si>
    <t>Tuorejuusto</t>
  </si>
  <si>
    <t>Maito</t>
  </si>
  <si>
    <t>Maitovalmisteet</t>
  </si>
  <si>
    <t>Maitoa ja munaa sis. proteiinituotteet</t>
  </si>
  <si>
    <t>Öljy</t>
  </si>
  <si>
    <t>Voi ja levitteet</t>
  </si>
  <si>
    <t>Jauhot ja suurimot</t>
  </si>
  <si>
    <t>Leipä, keksit ja leivonnaiset</t>
  </si>
  <si>
    <t>Murot ja myslit</t>
  </si>
  <si>
    <t>Pasta ja vehnänuudeli</t>
  </si>
  <si>
    <t>Riisi ja riisinuudeli</t>
  </si>
  <si>
    <t>Lastenruoka</t>
  </si>
  <si>
    <t>Äidinmaidonkorvike, valmiit</t>
  </si>
  <si>
    <t>Äidinmaidonkorvike, jauheet</t>
  </si>
  <si>
    <t>Lasten puurot ja vellit</t>
  </si>
  <si>
    <r>
      <t>Päästökerroin CO</t>
    </r>
    <r>
      <rPr>
        <b/>
        <vertAlign val="subscript"/>
        <sz val="11"/>
        <color theme="1"/>
        <rFont val="Calibri"/>
        <family val="2"/>
        <scheme val="minor"/>
      </rPr>
      <t>2</t>
    </r>
    <r>
      <rPr>
        <b/>
        <sz val="11"/>
        <color theme="1"/>
        <rFont val="Calibri"/>
        <family val="2"/>
        <scheme val="minor"/>
      </rPr>
      <t>e kg/kg</t>
    </r>
  </si>
  <si>
    <t>Käytetty määrä kg</t>
  </si>
  <si>
    <t>Päästöt kg CO2e</t>
  </si>
  <si>
    <t>Kokonaispäästöt</t>
  </si>
  <si>
    <t>Scope 1: Tuotettu energia</t>
  </si>
  <si>
    <t>Scope 1: Hajapäästöt</t>
  </si>
  <si>
    <t>Scope 2</t>
  </si>
  <si>
    <t>Scope 2: Sähkö (Aluekohtainen)</t>
  </si>
  <si>
    <t>Scope 2: Sähkö (Markkinalähtöinen)</t>
  </si>
  <si>
    <t>Scope 2: Kaukolämpö</t>
  </si>
  <si>
    <t>Scope 2: Kaukokylmä</t>
  </si>
  <si>
    <t>Scope 2: Höyry</t>
  </si>
  <si>
    <t>Scope 3</t>
  </si>
  <si>
    <t>Kategoria 1: Tuotteet ja palvelut</t>
  </si>
  <si>
    <t>Kategoria 2: Käyttöomaisuus</t>
  </si>
  <si>
    <t>Kategoria 3: Ostoenergian epäsuorat päästöt</t>
  </si>
  <si>
    <t>Kategoria 4: Hankitut kuljetukset</t>
  </si>
  <si>
    <t>Kategoria 5: Jätteet</t>
  </si>
  <si>
    <t>Kategoria 6: Liikematkustus</t>
  </si>
  <si>
    <t>Kategoria 7: Töihin matkustus</t>
  </si>
  <si>
    <t>Kategoria 8: Vuokrattu omaisuus</t>
  </si>
  <si>
    <t>Kategoria 9: Lähtevät kuljetukset</t>
  </si>
  <si>
    <t>Kategoria 10: Myytyjen tuotteiden prosessointi</t>
  </si>
  <si>
    <t>Kategoria 11: Myytyjen tuotteiden käyttö</t>
  </si>
  <si>
    <t>Kategoria 12: Myytyjen tuotteiden käytöstä poisto</t>
  </si>
  <si>
    <t>Kategoria 13: Ulos vuokrattu omaisuus</t>
  </si>
  <si>
    <t>Kategoria 14: Franchising</t>
  </si>
  <si>
    <t>Kategoria 15: Sijoitukset</t>
  </si>
  <si>
    <t>Punaviini</t>
  </si>
  <si>
    <t>Valkoviini</t>
  </si>
  <si>
    <t>Roseeviini</t>
  </si>
  <si>
    <t>Kuohuviini</t>
  </si>
  <si>
    <t>Muut miedot viinit</t>
  </si>
  <si>
    <t>Väkevät viinit</t>
  </si>
  <si>
    <t>Olut</t>
  </si>
  <si>
    <t>Longdrink</t>
  </si>
  <si>
    <t>Siideri</t>
  </si>
  <si>
    <t>Alkoholittomat</t>
  </si>
  <si>
    <t>Vodkat ja viinat</t>
  </si>
  <si>
    <t>Liköörit ja katkerot</t>
  </si>
  <si>
    <t>Viski</t>
  </si>
  <si>
    <t>Brandy</t>
  </si>
  <si>
    <t>Konjakki</t>
  </si>
  <si>
    <t>Rommi</t>
  </si>
  <si>
    <t>Armanjakit ja calvadosit</t>
  </si>
  <si>
    <t>Ginit ja muut viinat</t>
  </si>
  <si>
    <r>
      <t>CO</t>
    </r>
    <r>
      <rPr>
        <b/>
        <vertAlign val="subscript"/>
        <sz val="11"/>
        <color theme="1"/>
        <rFont val="Calibri"/>
        <family val="2"/>
        <scheme val="minor"/>
      </rPr>
      <t>2</t>
    </r>
    <r>
      <rPr>
        <b/>
        <sz val="11"/>
        <color theme="1"/>
        <rFont val="Calibri"/>
        <family val="2"/>
        <scheme val="minor"/>
      </rPr>
      <t>e kg/l</t>
    </r>
  </si>
  <si>
    <t>Juoma</t>
  </si>
  <si>
    <t>Käytetty määrä l</t>
  </si>
  <si>
    <r>
      <t>Päästökerroin CO</t>
    </r>
    <r>
      <rPr>
        <b/>
        <vertAlign val="subscript"/>
        <sz val="11"/>
        <color theme="1"/>
        <rFont val="Calibri"/>
        <family val="2"/>
        <scheme val="minor"/>
      </rPr>
      <t>2</t>
    </r>
    <r>
      <rPr>
        <b/>
        <sz val="11"/>
        <color theme="1"/>
        <rFont val="Calibri"/>
        <family val="2"/>
        <scheme val="minor"/>
      </rPr>
      <t>e kg/l</t>
    </r>
  </si>
  <si>
    <r>
      <t>CO</t>
    </r>
    <r>
      <rPr>
        <b/>
        <vertAlign val="subscript"/>
        <sz val="11"/>
        <color theme="1"/>
        <rFont val="Calibri"/>
        <family val="2"/>
        <scheme val="minor"/>
      </rPr>
      <t>2</t>
    </r>
    <r>
      <rPr>
        <b/>
        <sz val="11"/>
        <color theme="1"/>
        <rFont val="Calibri"/>
        <family val="2"/>
        <scheme val="minor"/>
      </rPr>
      <t>e kg/kWh</t>
    </r>
  </si>
  <si>
    <t>Sähkön jäännösjakauma</t>
  </si>
  <si>
    <t>Vuosi</t>
  </si>
  <si>
    <t>Sähkönkulutus kWh</t>
  </si>
  <si>
    <t>Scope 3: Epäsuorat päästöt</t>
  </si>
  <si>
    <t>Suomi, keskimääräinen päästökerroin (Aluekohtainen)</t>
  </si>
  <si>
    <t>Sähkö, epäsuorat päästöt</t>
  </si>
  <si>
    <t>Kaukolämpö</t>
  </si>
  <si>
    <t>Joensuu</t>
  </si>
  <si>
    <t>Savon Voima Oyj</t>
  </si>
  <si>
    <t>Helsinki</t>
  </si>
  <si>
    <t>Helen Oy</t>
  </si>
  <si>
    <t>Turku</t>
  </si>
  <si>
    <t>Turku Energia Oy Ab</t>
  </si>
  <si>
    <t>Imatra</t>
  </si>
  <si>
    <t>Imatran Lämpö Oy</t>
  </si>
  <si>
    <t>Lappeenranta</t>
  </si>
  <si>
    <t>Lappeenrannan Energia Oy</t>
  </si>
  <si>
    <t>Hamina</t>
  </si>
  <si>
    <t>Haminan Energia Oy</t>
  </si>
  <si>
    <t>Kotka</t>
  </si>
  <si>
    <t>Kotkan Energia Oy</t>
  </si>
  <si>
    <t>Vantaa</t>
  </si>
  <si>
    <t>Vantaan Energia Oy</t>
  </si>
  <si>
    <t>Kerava</t>
  </si>
  <si>
    <t>Keravan Energia Oy</t>
  </si>
  <si>
    <t>Espoo</t>
  </si>
  <si>
    <t>Fortum Power and Heat Oy</t>
  </si>
  <si>
    <t>Lahti</t>
  </si>
  <si>
    <t>Lahti Energia Oy</t>
  </si>
  <si>
    <t>Jyväskylä</t>
  </si>
  <si>
    <t>Alva-yhtiöt Oy</t>
  </si>
  <si>
    <t>Viitasaari</t>
  </si>
  <si>
    <t>Alva Viitasaari Oy</t>
  </si>
  <si>
    <t>Oulu</t>
  </si>
  <si>
    <t>Oulun Energia Oy</t>
  </si>
  <si>
    <t>Rovaniemi</t>
  </si>
  <si>
    <t>Napapiirin Energia ja Vesi Oy</t>
  </si>
  <si>
    <t>Kokkola</t>
  </si>
  <si>
    <t>Kokkolan Energia</t>
  </si>
  <si>
    <t>Rauma</t>
  </si>
  <si>
    <t>Rauman Energia Oy</t>
  </si>
  <si>
    <t>Pori</t>
  </si>
  <si>
    <t>Pori Energia Oy</t>
  </si>
  <si>
    <t>Uusikaupunki</t>
  </si>
  <si>
    <t>VSV Energia Oy</t>
  </si>
  <si>
    <t>Tampere</t>
  </si>
  <si>
    <t>Tampereen Sähkölaitos</t>
  </si>
  <si>
    <t>Kuopio</t>
  </si>
  <si>
    <t>Kuopion Energia Oy</t>
  </si>
  <si>
    <t>Varissuon Lämpö Oy</t>
  </si>
  <si>
    <t>Savonlinna</t>
  </si>
  <si>
    <t>Suur-Savon Sähkö Oy</t>
  </si>
  <si>
    <t>Mikkeli</t>
  </si>
  <si>
    <t>Etelä-Savon Energia Oy</t>
  </si>
  <si>
    <t>Kouvola</t>
  </si>
  <si>
    <t>KSS Lämpö Oy</t>
  </si>
  <si>
    <t>Porvoo</t>
  </si>
  <si>
    <t>Porvoon Energia Oy</t>
  </si>
  <si>
    <t>Hyvinkää</t>
  </si>
  <si>
    <t>Hyvinkään Lämpövoima Oy</t>
  </si>
  <si>
    <t>Hämeenlinna</t>
  </si>
  <si>
    <t>Loimua Oy</t>
  </si>
  <si>
    <t>Seinäjoki</t>
  </si>
  <si>
    <t>Seinäjoen Energia Oy</t>
  </si>
  <si>
    <t>Vaasa</t>
  </si>
  <si>
    <t>Vaasan Sähkö Oy</t>
  </si>
  <si>
    <t>Kajaani</t>
  </si>
  <si>
    <t>Loiste Lämpö Oy</t>
  </si>
  <si>
    <t>Otanmäen Lämpö Oy</t>
  </si>
  <si>
    <t>Kuusamo</t>
  </si>
  <si>
    <t>Kuusamon energia- ja vesiosuuskunta</t>
  </si>
  <si>
    <t>Hanko</t>
  </si>
  <si>
    <t>Adven Oy</t>
  </si>
  <si>
    <t>Lieksa</t>
  </si>
  <si>
    <t>Nevel Oy</t>
  </si>
  <si>
    <t>Ilomantsi</t>
  </si>
  <si>
    <t>Pietarsaari</t>
  </si>
  <si>
    <t>Herrfors Oy Ab</t>
  </si>
  <si>
    <t>Raahe</t>
  </si>
  <si>
    <t>Raahen Energia Oy</t>
  </si>
  <si>
    <t>Iisalmi</t>
  </si>
  <si>
    <t>Inari</t>
  </si>
  <si>
    <t>Inergia Lämpö Oy</t>
  </si>
  <si>
    <t>Kemi</t>
  </si>
  <si>
    <t>Keminmaan Energia ja Vesi Oy</t>
  </si>
  <si>
    <t>Kemin Energia ja Vesi Oy</t>
  </si>
  <si>
    <t>Kemijärven lämpö ja vesi Oy</t>
  </si>
  <si>
    <t>Tornio</t>
  </si>
  <si>
    <t>Tornion Energia Oy</t>
  </si>
  <si>
    <t>Äänekoski</t>
  </si>
  <si>
    <t>Äänekosken Energia Oy</t>
  </si>
  <si>
    <t>Naantali</t>
  </si>
  <si>
    <t>Maarianhamina</t>
  </si>
  <si>
    <t>Mariehamns Energi Ab</t>
  </si>
  <si>
    <t>Siilinjärvi</t>
  </si>
  <si>
    <t>Varkaus</t>
  </si>
  <si>
    <t>Varkauden Aluelämpö Oy</t>
  </si>
  <si>
    <t>Alajärvi</t>
  </si>
  <si>
    <t>Alajärven Lämpö Oy</t>
  </si>
  <si>
    <t>Järvenpää</t>
  </si>
  <si>
    <t>Vantaan Energia Keski-Uusimaa Oy</t>
  </si>
  <si>
    <t>Kitee</t>
  </si>
  <si>
    <t>Kiteen Lämpö Oy</t>
  </si>
  <si>
    <t>Nurmes</t>
  </si>
  <si>
    <t>Nurmeksen Lämpö Oy</t>
  </si>
  <si>
    <t>Pieksämäki</t>
  </si>
  <si>
    <t>Forssa</t>
  </si>
  <si>
    <t>Salo</t>
  </si>
  <si>
    <t>Salon Kaukolämpö Oy</t>
  </si>
  <si>
    <t>Heinola</t>
  </si>
  <si>
    <t>Vierumäen Infra Oy</t>
  </si>
  <si>
    <t>Jämsä</t>
  </si>
  <si>
    <t>Jämsän Aluelämpö Oy</t>
  </si>
  <si>
    <t>Sotkamo</t>
  </si>
  <si>
    <t>Kangasala</t>
  </si>
  <si>
    <t>Kangasalan Lämpö Oy</t>
  </si>
  <si>
    <t>Rantasalmi</t>
  </si>
  <si>
    <t>Saarijärvi</t>
  </si>
  <si>
    <t>Saarijärven Kaukolämpö Oy</t>
  </si>
  <si>
    <t>Juuka</t>
  </si>
  <si>
    <t>Juuan Kaukolämpö Oy</t>
  </si>
  <si>
    <t>Kauhajoki</t>
  </si>
  <si>
    <t>Kauhajoen Lämpöhuolto Oy</t>
  </si>
  <si>
    <t>Parkano</t>
  </si>
  <si>
    <t>Leppäkosken Lämpö</t>
  </si>
  <si>
    <t>Pielavesi</t>
  </si>
  <si>
    <t>Kaukolämpö, kaupungit</t>
  </si>
  <si>
    <t>Hankittu lämpö kWh</t>
  </si>
  <si>
    <t>Paikkakunta</t>
  </si>
  <si>
    <t>Kaukolämpöyhtiö</t>
  </si>
  <si>
    <t>Scope 1</t>
  </si>
  <si>
    <t>Yhteensä</t>
  </si>
  <si>
    <t>Kaukolämpö epäsuorat</t>
  </si>
  <si>
    <t>Scope 1: Ajoneuvojen polttoaine</t>
  </si>
  <si>
    <t>Yhdyskuntajäte</t>
  </si>
  <si>
    <t>Rakennusjäte</t>
  </si>
  <si>
    <t>Biojäte</t>
  </si>
  <si>
    <t>Betonijäte</t>
  </si>
  <si>
    <t>Biojäte kompostiin</t>
  </si>
  <si>
    <t>Tiilet, kalkkihiekkatiilet ja kiviaines</t>
  </si>
  <si>
    <t>Energiajäte</t>
  </si>
  <si>
    <t>Kipsi (kaatopaikalle)</t>
  </si>
  <si>
    <t>Lasijäte</t>
  </si>
  <si>
    <t>Kipsi (kierrätys)</t>
  </si>
  <si>
    <t>Metallijäte</t>
  </si>
  <si>
    <t>Lasi</t>
  </si>
  <si>
    <t>Pahvi ja kartonki</t>
  </si>
  <si>
    <t>Puumateriaalit</t>
  </si>
  <si>
    <t>Paperijäte</t>
  </si>
  <si>
    <t>Metallit</t>
  </si>
  <si>
    <t>Paristot</t>
  </si>
  <si>
    <t>Muovi (kierrätykseen)</t>
  </si>
  <si>
    <t>Sekajäte (poltto)</t>
  </si>
  <si>
    <t>Muovi (polttoon)</t>
  </si>
  <si>
    <t>SER (sähkölaitteet)</t>
  </si>
  <si>
    <t>Purkujäte, sekajäte (kaatopaikalle)</t>
  </si>
  <si>
    <t>Jätteen määrä kg</t>
  </si>
  <si>
    <t>Ajoneuvon koko: Pieni</t>
  </si>
  <si>
    <r>
      <t>Elinkaaren loppu kg CO</t>
    </r>
    <r>
      <rPr>
        <b/>
        <vertAlign val="subscript"/>
        <sz val="11"/>
        <color theme="1"/>
        <rFont val="Calibri"/>
        <family val="2"/>
        <scheme val="minor"/>
      </rPr>
      <t>2</t>
    </r>
    <r>
      <rPr>
        <b/>
        <sz val="11"/>
        <color theme="1"/>
        <rFont val="Calibri"/>
        <family val="2"/>
        <scheme val="minor"/>
      </rPr>
      <t xml:space="preserve">e </t>
    </r>
  </si>
  <si>
    <t>Ajoneuvon koko: Keskikokoinen</t>
  </si>
  <si>
    <t>Bensiini</t>
  </si>
  <si>
    <t>Diesel</t>
  </si>
  <si>
    <t>Etanoli</t>
  </si>
  <si>
    <t>Kaasu</t>
  </si>
  <si>
    <t>Ajoneuvon koko: Iso</t>
  </si>
  <si>
    <t>Ajoneuvon koko: Edustusauto</t>
  </si>
  <si>
    <t>Moottoripyörä</t>
  </si>
  <si>
    <t>Sähkömoottoripyörä</t>
  </si>
  <si>
    <t>Hybridi</t>
  </si>
  <si>
    <t>Muut</t>
  </si>
  <si>
    <r>
      <t>CO</t>
    </r>
    <r>
      <rPr>
        <b/>
        <vertAlign val="subscript"/>
        <sz val="11"/>
        <color theme="1"/>
        <rFont val="Calibri"/>
        <family val="2"/>
        <scheme val="minor"/>
      </rPr>
      <t>2</t>
    </r>
    <r>
      <rPr>
        <b/>
        <sz val="11"/>
        <color theme="1"/>
        <rFont val="Calibri"/>
        <family val="2"/>
        <scheme val="minor"/>
      </rPr>
      <t>e kg/m</t>
    </r>
    <r>
      <rPr>
        <b/>
        <vertAlign val="superscript"/>
        <sz val="11"/>
        <color theme="1"/>
        <rFont val="Calibri"/>
        <family val="2"/>
        <scheme val="minor"/>
      </rPr>
      <t>3</t>
    </r>
  </si>
  <si>
    <t>Jätevesi</t>
  </si>
  <si>
    <r>
      <t>Käytetty vesi m</t>
    </r>
    <r>
      <rPr>
        <b/>
        <vertAlign val="superscript"/>
        <sz val="11"/>
        <color theme="1"/>
        <rFont val="Calibri"/>
        <family val="2"/>
        <scheme val="minor"/>
      </rPr>
      <t>3</t>
    </r>
  </si>
  <si>
    <r>
      <t>Päästökerroin CO</t>
    </r>
    <r>
      <rPr>
        <b/>
        <vertAlign val="subscript"/>
        <sz val="11"/>
        <color theme="1"/>
        <rFont val="Calibri"/>
        <family val="2"/>
        <scheme val="minor"/>
      </rPr>
      <t>2</t>
    </r>
    <r>
      <rPr>
        <b/>
        <sz val="11"/>
        <color theme="1"/>
        <rFont val="Calibri"/>
        <family val="2"/>
        <scheme val="minor"/>
      </rPr>
      <t>e kg/m</t>
    </r>
    <r>
      <rPr>
        <b/>
        <vertAlign val="superscript"/>
        <sz val="11"/>
        <color theme="1"/>
        <rFont val="Calibri"/>
        <family val="2"/>
        <scheme val="minor"/>
      </rPr>
      <t>3</t>
    </r>
  </si>
  <si>
    <t>Pienet ajoneuvot</t>
  </si>
  <si>
    <t>Ajoneuvojen määrä kpl</t>
  </si>
  <si>
    <t>Keskikokoiset ajoneuvot</t>
  </si>
  <si>
    <t>Suuret ajoneuvot</t>
  </si>
  <si>
    <t>Edustusajoneuvot</t>
  </si>
  <si>
    <t>Nestekaasu (Propaani, LPG)</t>
  </si>
  <si>
    <t>kg/l</t>
  </si>
  <si>
    <t>Kevyt polttoöljy (rikitön)</t>
  </si>
  <si>
    <t>Raskas polttoöljy</t>
  </si>
  <si>
    <t>Polttoaine</t>
  </si>
  <si>
    <t>Polttoaineen kulutus l</t>
  </si>
  <si>
    <t>Biopolttoöljy (FAME)</t>
  </si>
  <si>
    <t>Biopolttoöljy (HVO)</t>
  </si>
  <si>
    <t>Bionestekaasu / Biopropaani</t>
  </si>
  <si>
    <t>Bioetanoli (ei sekoitettu)</t>
  </si>
  <si>
    <t>Biolentopetroli  (ei sekoitettu)</t>
  </si>
  <si>
    <t>Uusiutuva diesel (ei sekoitettu)</t>
  </si>
  <si>
    <t>Biopolttoaine</t>
  </si>
  <si>
    <t>Biopolttoaineen kulutus l</t>
  </si>
  <si>
    <t>Polttoaineen kulutus</t>
  </si>
  <si>
    <t>WTT</t>
  </si>
  <si>
    <t>Scope 1: Suorat päästöt</t>
  </si>
  <si>
    <t>Valitse alasvetovalikosta laskettava vuosi, käyttämäsi polttoaine sekä merkitse sarakkeeseen polttoaineen kulutus litroina.</t>
  </si>
  <si>
    <t>OHJE</t>
  </si>
  <si>
    <t>Polttoaineen käytöstä aiheutuvat epäsuorat päästöt lasketaan automaattisesti Scope 1 valintojen pohjalta.</t>
  </si>
  <si>
    <t>Fossiiliset polttoaineet</t>
  </si>
  <si>
    <t>Biopolttoaineet</t>
  </si>
  <si>
    <t>Valitse alasvetovalikosta laskettavan jätteen tyyppi sekä merkitse sarakkeeseen jätteen määrä kiloina</t>
  </si>
  <si>
    <t>Valitse alasvetovalikosta laskettava ruoka/juoma ja merkitse käytetty määrä</t>
  </si>
  <si>
    <t>Merkitse lähtötiedot erillisille laskentavälilehdille, jonka jälkeen päästötiedot päivittyvät automaattisesti kokonaispäästöt taulukkoon. "Scope 2: Sähkö" osalta valitse kumpaa laskentatapaa haluat käyttää klikkaamalla joko "Aluekohtainen" tai "Markkinalähtöinen" boksia.</t>
  </si>
  <si>
    <t>Linja-auto</t>
  </si>
  <si>
    <t>Mopo/Skootteri</t>
  </si>
  <si>
    <t>Pakettiauto</t>
  </si>
  <si>
    <t>Kuorma-auto</t>
  </si>
  <si>
    <t>Maantiematkustus</t>
  </si>
  <si>
    <r>
      <t>CO</t>
    </r>
    <r>
      <rPr>
        <b/>
        <vertAlign val="subscript"/>
        <sz val="11"/>
        <color theme="1"/>
        <rFont val="Calibri"/>
        <family val="2"/>
        <scheme val="minor"/>
      </rPr>
      <t>2</t>
    </r>
    <r>
      <rPr>
        <b/>
        <sz val="11"/>
        <color theme="1"/>
        <rFont val="Calibri"/>
        <family val="2"/>
        <scheme val="minor"/>
      </rPr>
      <t>e kg/km</t>
    </r>
  </si>
  <si>
    <t>Dieselauto</t>
  </si>
  <si>
    <t>Bensiiniauto</t>
  </si>
  <si>
    <t>E85</t>
  </si>
  <si>
    <t>Kaasuauto</t>
  </si>
  <si>
    <t>Sähköauto</t>
  </si>
  <si>
    <t>Hybridiauto</t>
  </si>
  <si>
    <t>Matkustusväline</t>
  </si>
  <si>
    <t>Kuljetut kilometrit</t>
  </si>
  <si>
    <r>
      <t>Päästökerroin CO</t>
    </r>
    <r>
      <rPr>
        <b/>
        <vertAlign val="subscript"/>
        <sz val="11"/>
        <color theme="1"/>
        <rFont val="Calibri"/>
        <family val="2"/>
        <scheme val="minor"/>
      </rPr>
      <t>2</t>
    </r>
    <r>
      <rPr>
        <b/>
        <sz val="11"/>
        <color theme="1"/>
        <rFont val="Calibri"/>
        <family val="2"/>
        <scheme val="minor"/>
      </rPr>
      <t>e kg/km</t>
    </r>
  </si>
  <si>
    <t>Lentomatkustus</t>
  </si>
  <si>
    <t>Kotimaa</t>
  </si>
  <si>
    <t>Lyhyt (&lt;3000km)</t>
  </si>
  <si>
    <t>Pitkä (&gt;3000km)</t>
  </si>
  <si>
    <t>Matkan tyyppi</t>
  </si>
  <si>
    <t>Matka kilometreinä</t>
  </si>
  <si>
    <t>Matkustajien määrä</t>
  </si>
  <si>
    <t>Raidematkustus</t>
  </si>
  <si>
    <t>Sähköjuna</t>
  </si>
  <si>
    <t>Raitiovaunu</t>
  </si>
  <si>
    <t>Metro</t>
  </si>
  <si>
    <t>Dieseljuna</t>
  </si>
  <si>
    <t>Laivamatkustus</t>
  </si>
  <si>
    <r>
      <t>CO</t>
    </r>
    <r>
      <rPr>
        <b/>
        <vertAlign val="subscript"/>
        <sz val="12"/>
        <color theme="1"/>
        <rFont val="Calibri"/>
        <family val="2"/>
        <scheme val="minor"/>
      </rPr>
      <t>2</t>
    </r>
    <r>
      <rPr>
        <b/>
        <sz val="12"/>
        <color theme="1"/>
        <rFont val="Calibri"/>
        <family val="2"/>
        <scheme val="minor"/>
      </rPr>
      <t>e/t</t>
    </r>
  </si>
  <si>
    <t>Kategoria 7: Työmatkustus</t>
  </si>
  <si>
    <t>Pakettiauto (2,7t), kuorma 20 %, maantieajo</t>
  </si>
  <si>
    <t>Pakettiauto (2,7t), kuorma 20 %, kaupunkiajo</t>
  </si>
  <si>
    <t>Pakettiauto (2,7t), kuorma 37,5 %, maantieajo</t>
  </si>
  <si>
    <t>Pakettiauto (2,7t), kuorma 37,5 %, kaupunkiajo</t>
  </si>
  <si>
    <t>Pakettiauto (2,7t), kuorma 40 %, maantieajo</t>
  </si>
  <si>
    <t>Pakettiauto (2,7t), kuorma 40 %, kaupunkiajo</t>
  </si>
  <si>
    <t>Pakettiauto (2,7t), kuorma 50 %, maantieajo</t>
  </si>
  <si>
    <t>Pakettiauto (2,7t), kuorma 50 %, kaupunkiajo</t>
  </si>
  <si>
    <t>Pakettiauto (2,7t), kuorma 80 %, maantieajo</t>
  </si>
  <si>
    <t>Pakettiauto (2,7t), kuorma 80 %, kaupunkiajo</t>
  </si>
  <si>
    <t>Pakettiauto (2,7t), kuorma 100 %, maantieajo</t>
  </si>
  <si>
    <t>Pakettiauto (2,7t), kuorma 100 %, kaupunkiajo</t>
  </si>
  <si>
    <t>Pieni jakelukuorma-auto (6t), kuorma 20 %, maantieajo</t>
  </si>
  <si>
    <t>Pieni jakelukuorma-auto (6t), kuorma 20 %, kaupunkiajo</t>
  </si>
  <si>
    <t>Pieni jakelukuorma-auto (6t), kuorma 37,5 %, maantieajo</t>
  </si>
  <si>
    <t>Pieni jakelukuorma-auto (6t), kuorma 37,5 %, kaupunkiajo</t>
  </si>
  <si>
    <t>Pieni jakelukuorma-auto (6t), kuorma 40 %, maantieajo</t>
  </si>
  <si>
    <t>Pieni jakelukuorma-auto (6t), kuorma 40 %, kaupunkiajo</t>
  </si>
  <si>
    <t>Pieni jakelukuorma-auto (6t), kuorma 50 %, maantieajo</t>
  </si>
  <si>
    <t>Pieni jakelukuorma-auto (6t), kuorma 50 %, kaupunkiajo</t>
  </si>
  <si>
    <t>Pieni jakelukuorma-auto (6t), kuorma 80 %, maantieajo</t>
  </si>
  <si>
    <t>Pieni jakelukuorma-auto (6t), kuorma 80 %, kaupunkiajo</t>
  </si>
  <si>
    <t>Pieni jakelukuorma-auto (6t), kuorma 100 %, maantieajo</t>
  </si>
  <si>
    <t>Pieni jakelukuorma-auto (6t), kuorma 100 %, kaupunkiajo</t>
  </si>
  <si>
    <t>Suuri jakelukuorma-auto (15t), kuorma 20 %, maantieajo</t>
  </si>
  <si>
    <t>Suuri jakelukuorma-auto (15t), kuorma 20 %, kaupunkiajo</t>
  </si>
  <si>
    <t>Suuri jakelukuorma-auto (15t), kuorma 37,5 %, maantieajo</t>
  </si>
  <si>
    <t>Suuri jakelukuorma-auto (15t), kuorma 37,5 %, kaupunkiajo</t>
  </si>
  <si>
    <t>Suuri jakelukuorma-auto (15t), kuorma 40 %, maantieajo</t>
  </si>
  <si>
    <t>Suuri jakelukuorma-auto (15t), kuorma 40 %, kaupunkiajo</t>
  </si>
  <si>
    <t>Suuri jakelukuorma-auto (15t), kuorma 50 %, maantieajo</t>
  </si>
  <si>
    <t>Suuri jakelukuorma-auto (15t), kuorma 50 %, kaupunkiajo</t>
  </si>
  <si>
    <t>Suuri jakelukuorma-auto (15t), kuorma 80 %, maantieajo</t>
  </si>
  <si>
    <t>Suuri jakelukuorma-auto (15t), kuorma 80 %, kaupunkiajo</t>
  </si>
  <si>
    <t>Suuri jakelukuorma-auto (15t), kuorma 100 %, maantieajo</t>
  </si>
  <si>
    <t>Suuri jakelukuorma-auto (15t), kuorma 100 %, kaupunkiajo</t>
  </si>
  <si>
    <t>Maansiirtoauto (32t), kuorma 20 %, maantieajo</t>
  </si>
  <si>
    <t>Maansiirtoauto (32t), kuorma 20 %, kaupunkiajo</t>
  </si>
  <si>
    <t>Maansiirtoauto (32t), kuorma 37,5 %, maantieajo</t>
  </si>
  <si>
    <t>Maansiirtoauto (32t), kuorma 37,5 %, kaupunkiajo</t>
  </si>
  <si>
    <t>Maansiirtoauto (32t), kuorma 40 %, maantieajo</t>
  </si>
  <si>
    <t>Maansiirtoauto (32t), kuorma 40 %, kaupunkiajo</t>
  </si>
  <si>
    <t>Maansiirtoauto (32t), kuorma 50 %, maantieajo</t>
  </si>
  <si>
    <t>Maansiirtoauto (32t), kuorma 50 %, kaupunkiajo</t>
  </si>
  <si>
    <t>Maansiirtoauto (32t), kuorma 80 %, maantieajo</t>
  </si>
  <si>
    <t>Maansiirtoauto (32t), kuorma 80 %, kaupunkiajo</t>
  </si>
  <si>
    <t>Maansiirtoauto (32t), kuorma 100 %, maantieajo</t>
  </si>
  <si>
    <t>Maansiirtoauto (32t), kuorma 100 %, kaupunkiajo</t>
  </si>
  <si>
    <t>Puoliperävaunuyhdistelmä (40t), kuorma 20 %, maantieajo</t>
  </si>
  <si>
    <t>Puoliperävaunuyhdistelmä (40t), kuorma 20 %, kaupunkiajo</t>
  </si>
  <si>
    <t>Puoliperävaunuyhdistelmä (40t), kuorma 37,5 %, maantieajo</t>
  </si>
  <si>
    <t>Puoliperävaunuyhdistelmä (40t), kuorma 37,5 %, kaupunkiajo</t>
  </si>
  <si>
    <t>Puoliperävaunuyhdistelmä (40t), kuorma 40 %, maantieajo</t>
  </si>
  <si>
    <t>Puoliperävaunuyhdistelmä (40t), kuorma 40 %, kaupunkiajo</t>
  </si>
  <si>
    <t>Puoliperävaunuyhdistelmä (40t), kuorma 50 %, maantieajo</t>
  </si>
  <si>
    <t>Puoliperävaunuyhdistelmä (40t), kuorma 50 %, kaupunkiajo</t>
  </si>
  <si>
    <t>Puoliperävaunuyhdistelmä (40t), kuorma 80 %, maantieajo</t>
  </si>
  <si>
    <t>Puoliperävaunuyhdistelmä (40t), kuorma 80 %, kaupunkiajo</t>
  </si>
  <si>
    <t>Puoliperävaunuyhdistelmä (40t), kuorma 100 %, maantieajo</t>
  </si>
  <si>
    <t>Puoliperävaunuyhdistelmä (40t), kuorma 100 %, kaupunkiajo</t>
  </si>
  <si>
    <t>Täysperävaunuyhdistelmä (60t), kuorma 20 %, maantieajo</t>
  </si>
  <si>
    <t>Täysperävaunuyhdistelmä (60t), kuorma 20 %, kaupunkiajo</t>
  </si>
  <si>
    <t>Täysperävaunuyhdistelmä (60t), kuorma 37,5 %, maantieajo</t>
  </si>
  <si>
    <t>Täysperävaunuyhdistelmä (60t), kuorma 37,5 %, kaupunkiajo</t>
  </si>
  <si>
    <t>Täysperävaunuyhdistelmä (60t), kuorma 40 %, maantieajo</t>
  </si>
  <si>
    <t>Täysperävaunuyhdistelmä (60t), kuorma 40 %, kaupunkiajo</t>
  </si>
  <si>
    <t>Täysperävaunuyhdistelmä (60t), kuorma 50 %, maantieajo</t>
  </si>
  <si>
    <t>Täysperävaunuyhdistelmä (60t), kuorma 50 %, kaupunkiajo</t>
  </si>
  <si>
    <t>Täysperävaunuyhdistelmä (60t), kuorma 80 %, maantieajo</t>
  </si>
  <si>
    <t>Täysperävaunuyhdistelmä (60t), kuorma 80 %, kaupunkiajo</t>
  </si>
  <si>
    <t>Täysperävaunuyhdistelmä (60t), kuorma 100 %, maantieajo</t>
  </si>
  <si>
    <t>Täysperävaunuyhdistelmä (60t), kuorma 100 %, kaupunkiajo</t>
  </si>
  <si>
    <t>Täysperävaunuyhdistelmä (76t), kuorma 20 %, maantieajo</t>
  </si>
  <si>
    <t>Täysperävaunuyhdistelmä (76t), kuorma 20 %, kaupunkiajo</t>
  </si>
  <si>
    <t>Täysperävaunuyhdistelmä (76t), kuorma 37,5 %, maantieajo</t>
  </si>
  <si>
    <t>Täysperävaunuyhdistelmä (76t), kuorma 37,5 %, kaupunkiajo</t>
  </si>
  <si>
    <t>Täysperävaunuyhdistelmä (76t), kuorma 40 %, maantieajo</t>
  </si>
  <si>
    <t>Täysperävaunuyhdistelmä (76t), kuorma 40 %, kaupunkiajo</t>
  </si>
  <si>
    <t>Täysperävaunuyhdistelmä (76t), kuorma 50 %, maantieajo</t>
  </si>
  <si>
    <t>Täysperävaunuyhdistelmä (76t), kuorma 50 %, kaupunkiajo</t>
  </si>
  <si>
    <t>Täysperävaunuyhdistelmä (76t), kuorma 80 %, maantieajo</t>
  </si>
  <si>
    <t>Täysperävaunuyhdistelmä (76t), kuorma 80 %, kaupunkiajo</t>
  </si>
  <si>
    <t>Täysperävaunuyhdistelmä (76t), kuorma 100 %, maantieajo</t>
  </si>
  <si>
    <t>Täysperävaunuyhdistelmä (76t), kuorma 100 %, kaupunkiajo</t>
  </si>
  <si>
    <t>Pakettiauto (2,7t), kuorma 0 %, maantieajo</t>
  </si>
  <si>
    <t>Pakettiauto (2,7t), kuorma 0 %, kaupunkiajo</t>
  </si>
  <si>
    <t>Pieni jakelukuorma-auto (6t), kuorma 0 %, maantieajo</t>
  </si>
  <si>
    <t>Pieni jakelukuorma-auto (6t), kuorma 0 %, kaupunkiajo</t>
  </si>
  <si>
    <t>Suuri jakelukuorma-auto (15t), kuorma 0 %, maantieajo</t>
  </si>
  <si>
    <t>Suuri jakelukuorma-auto (15t), kuorma 0 %, kaupunkiajo</t>
  </si>
  <si>
    <t>Maansiirtoauto (32t), kuorma 0 %, maantieajo</t>
  </si>
  <si>
    <t>Maansiirtoauto (32t), kuorma 0 %, kaupunkiajo</t>
  </si>
  <si>
    <t>Puoliperävaunuyhdistelmä (40t), kuorma 0 %, maantieajo</t>
  </si>
  <si>
    <t>Puoliperävaunuyhdistelmä (40t), kuorma 0 %, kaupunkiajo</t>
  </si>
  <si>
    <t>Täysperävaunuyhdistelmä (60t), kuorma 0 %, maantieajo</t>
  </si>
  <si>
    <t>Täysperävaunuyhdistelmä (60t), kuorma 0 %, kaupunkiajo</t>
  </si>
  <si>
    <t>Täysperävaunuyhdistelmä (76t), kuorma 0 %, maantieajo</t>
  </si>
  <si>
    <t>Täysperävaunuyhdistelmä (76t), kuorma 0 %, kaupunkiajo</t>
  </si>
  <si>
    <t>Lyhyt (&lt;3000 km)</t>
  </si>
  <si>
    <t>Pitkä (&gt;3000 km)</t>
  </si>
  <si>
    <t>Konttialus, 1000 TEU</t>
  </si>
  <si>
    <t>Konttialus, 2000 TEU</t>
  </si>
  <si>
    <t>Irtolastialus, keskikokoinen</t>
  </si>
  <si>
    <t>Irtolastialus, suuri</t>
  </si>
  <si>
    <t>Rahtialus, pieni</t>
  </si>
  <si>
    <t>Raakaöljytankkeri, lyhyt matka</t>
  </si>
  <si>
    <t>Raakaöljytankkeri, pitkä matka</t>
  </si>
  <si>
    <t>Polttoainetankkeri, lyhyt matka</t>
  </si>
  <si>
    <t>Polttoainetankkeri, pitkä matka</t>
  </si>
  <si>
    <t>Irtolastialus, sisävesi</t>
  </si>
  <si>
    <t>Nestekaasun kuljetuslaiva</t>
  </si>
  <si>
    <t>Raakaöljyalus 100 000 DWT</t>
  </si>
  <si>
    <t>Tuotetankkeri, lyhyt matka 12 000 DWT</t>
  </si>
  <si>
    <t>Tuotetankkeri, pitkä matka 25 000 DWT</t>
  </si>
  <si>
    <t>Kemikaalialus 8000 DWT</t>
  </si>
  <si>
    <t>Bulkkialus, lyhyt matka 14 000 DWT</t>
  </si>
  <si>
    <t>Bulkkialus, pitkä matka 40 000 DWT</t>
  </si>
  <si>
    <t>Konttialus 18 000 DWT</t>
  </si>
  <si>
    <t>Konttialus, paperi 14 000 DWT</t>
  </si>
  <si>
    <t>Kuivalastialus, lyhyt matka 4 000 DWT</t>
  </si>
  <si>
    <t>Kuivalastialus, pitkä matka 10 000 DWT</t>
  </si>
  <si>
    <t>Roro-lastialus 10 000 DWT</t>
  </si>
  <si>
    <t>Roro-lastialus, paperi 14 000 DWT</t>
  </si>
  <si>
    <t>Roro-matkustaja-alus 6 000 DWT</t>
  </si>
  <si>
    <t>Muu alus 14 000 DWT</t>
  </si>
  <si>
    <t>Lentokuljetukset</t>
  </si>
  <si>
    <r>
      <t>CO</t>
    </r>
    <r>
      <rPr>
        <vertAlign val="subscript"/>
        <sz val="11"/>
        <color theme="1"/>
        <rFont val="Calibri"/>
        <family val="2"/>
        <scheme val="minor"/>
      </rPr>
      <t>2</t>
    </r>
    <r>
      <rPr>
        <sz val="11"/>
        <color theme="1"/>
        <rFont val="Calibri"/>
        <family val="2"/>
        <scheme val="minor"/>
      </rPr>
      <t>e kg/tkm</t>
    </r>
  </si>
  <si>
    <t>Laivakuljetukset</t>
  </si>
  <si>
    <t>Raidekuljetukset</t>
  </si>
  <si>
    <t>Kuljetuksen paino (tonnia)</t>
  </si>
  <si>
    <t>Maantiekuljetukset</t>
  </si>
  <si>
    <t>Kuljetusajoneuvo</t>
  </si>
  <si>
    <t>Lentokuljetuksen tyyppi</t>
  </si>
  <si>
    <t>Junan käyttövoima</t>
  </si>
  <si>
    <t>Valitse alasvetovalikosta kuljetusväline tai tyyppi. Merkitse kuljetut kilometrit sekä kuljetuksen paino tonneina.</t>
  </si>
  <si>
    <t>Valitse alasvetovalikosta laskettava vuosi ja merkitse sijoitustoiminnasta aiheutuneet scope 1 ja scope 2 päästöt (polttoaine, sähkö ja lämmitys).</t>
  </si>
  <si>
    <t>Valitse alasvetovalikosta laskettava vuosi ja merkitse franchising yritystoiminnasta aiheutuneet scope 1 ja scope 2 päästöt (polttoaine, sähkö ja lämmitys).</t>
  </si>
  <si>
    <t>Valitse alasvetovalikosta kierrätettävän ajoneuvon tyyppi sekä merkitse sarakkeeseen ajoneuvojen määrä</t>
  </si>
  <si>
    <t>Kylmäaineet</t>
  </si>
  <si>
    <r>
      <t>kg CO</t>
    </r>
    <r>
      <rPr>
        <b/>
        <vertAlign val="subscript"/>
        <sz val="11"/>
        <color theme="1"/>
        <rFont val="Calibri"/>
        <family val="2"/>
        <scheme val="minor"/>
      </rPr>
      <t>2</t>
    </r>
    <r>
      <rPr>
        <b/>
        <sz val="11"/>
        <color theme="1"/>
        <rFont val="Calibri"/>
        <family val="2"/>
        <scheme val="minor"/>
      </rPr>
      <t>e/kg</t>
    </r>
  </si>
  <si>
    <t>R23</t>
  </si>
  <si>
    <t>R32</t>
  </si>
  <si>
    <t>R125</t>
  </si>
  <si>
    <t>R134a</t>
  </si>
  <si>
    <t>R401a</t>
  </si>
  <si>
    <t>R404a</t>
  </si>
  <si>
    <t>R407a</t>
  </si>
  <si>
    <t>R407c</t>
  </si>
  <si>
    <t>R407f</t>
  </si>
  <si>
    <t>R410a</t>
  </si>
  <si>
    <t>R413a</t>
  </si>
  <si>
    <t>R417a</t>
  </si>
  <si>
    <t>R422a</t>
  </si>
  <si>
    <t>R422d</t>
  </si>
  <si>
    <t>R424a</t>
  </si>
  <si>
    <t>R426a</t>
  </si>
  <si>
    <t>R427a</t>
  </si>
  <si>
    <t>R428a</t>
  </si>
  <si>
    <t>R434a</t>
  </si>
  <si>
    <t>R437a</t>
  </si>
  <si>
    <t>R438a</t>
  </si>
  <si>
    <t>R442a</t>
  </si>
  <si>
    <t>R448a</t>
  </si>
  <si>
    <t>R449a</t>
  </si>
  <si>
    <t>R452a</t>
  </si>
  <si>
    <t>R507a</t>
  </si>
  <si>
    <t>R508a</t>
  </si>
  <si>
    <t>R508b</t>
  </si>
  <si>
    <t>R513a</t>
  </si>
  <si>
    <t>MO89</t>
  </si>
  <si>
    <t>Kylmäaine</t>
  </si>
  <si>
    <t>Käytetty määrä (kg)</t>
  </si>
  <si>
    <t>Hajapäästöt kylmäaineista</t>
  </si>
  <si>
    <t>Valitse alasvetovalikosta käytetty kylmäaine sekä täydennykseen kulunut ainemäärä kiloina.</t>
  </si>
  <si>
    <t>Scope 2: Suorat päästöt, kaukolämpö</t>
  </si>
  <si>
    <t>Scope 2: Suorat päästöt, höyry</t>
  </si>
  <si>
    <t>Höyry</t>
  </si>
  <si>
    <t>Hankittu höyry kWh</t>
  </si>
  <si>
    <t>Scope 3: Epäsuorat päästöt, kaukolämpö</t>
  </si>
  <si>
    <t>Scope 3: Epäsuorat päästöt, höyry</t>
  </si>
  <si>
    <t>Valitse alasvetovalikosta laskettava vuosi ja merkitse myytyjen tuotteiden prosessoinnista aiheutuneet scope 1 ja scope 2 päästöt (polttoaine, sähkö ja lämmitys). Prosessointi tapahtuu toisen yrityksen toimesta, jolloin tieto tai arvio prosessointiin käytettävästä energiasta on saatava tämän yrityksen kautta.</t>
  </si>
  <si>
    <t>Valitse alasvetovalikosta laskettavan jätteen tyyppi sekä myydyn tuotteen loppukäsittelystä aiheutuvan jätteen määrä.</t>
  </si>
  <si>
    <r>
      <t>Valmistus kg CO</t>
    </r>
    <r>
      <rPr>
        <b/>
        <vertAlign val="subscript"/>
        <sz val="11"/>
        <color theme="1"/>
        <rFont val="Calibri"/>
        <family val="2"/>
        <scheme val="minor"/>
      </rPr>
      <t>2</t>
    </r>
    <r>
      <rPr>
        <b/>
        <sz val="11"/>
        <color theme="1"/>
        <rFont val="Calibri"/>
        <family val="2"/>
        <scheme val="minor"/>
      </rPr>
      <t xml:space="preserve">e </t>
    </r>
  </si>
  <si>
    <t>Hybridi (Bensiini)</t>
  </si>
  <si>
    <t>Hybridi (Diesel)</t>
  </si>
  <si>
    <t>Ladattava hybridi (Bensiini)</t>
  </si>
  <si>
    <t>Ladattava hybridi (Diesel)</t>
  </si>
  <si>
    <t>Ajoeneuvon tyyppi</t>
  </si>
  <si>
    <t>Sähköpyörä</t>
  </si>
  <si>
    <r>
      <t>Valmistus kg CO</t>
    </r>
    <r>
      <rPr>
        <b/>
        <vertAlign val="subscript"/>
        <sz val="11"/>
        <color theme="1"/>
        <rFont val="Calibri"/>
        <family val="2"/>
        <scheme val="minor"/>
      </rPr>
      <t>2</t>
    </r>
    <r>
      <rPr>
        <b/>
        <sz val="11"/>
        <color theme="1"/>
        <rFont val="Calibri"/>
        <family val="2"/>
        <scheme val="minor"/>
      </rPr>
      <t xml:space="preserve">e/kWh </t>
    </r>
  </si>
  <si>
    <t>Sähköauton akku</t>
  </si>
  <si>
    <t>Pyörät</t>
  </si>
  <si>
    <t>Polkupyörä</t>
  </si>
  <si>
    <t>Akun koko kWh</t>
  </si>
  <si>
    <t>Ydinvoima</t>
  </si>
  <si>
    <t>Tuulivoima</t>
  </si>
  <si>
    <t>Aurinkoenergia</t>
  </si>
  <si>
    <t>Vesivoima</t>
  </si>
  <si>
    <t>Kivihiili</t>
  </si>
  <si>
    <r>
      <t>Päästökerroin CO</t>
    </r>
    <r>
      <rPr>
        <b/>
        <vertAlign val="subscript"/>
        <sz val="11"/>
        <color theme="1"/>
        <rFont val="Calibri"/>
        <family val="2"/>
        <scheme val="minor"/>
      </rPr>
      <t>2</t>
    </r>
    <r>
      <rPr>
        <b/>
        <sz val="11"/>
        <color theme="1"/>
        <rFont val="Calibri"/>
        <family val="2"/>
        <scheme val="minor"/>
      </rPr>
      <t>e kg/kWh</t>
    </r>
  </si>
  <si>
    <t>Maakaasu</t>
  </si>
  <si>
    <t>Lämmitys</t>
  </si>
  <si>
    <r>
      <t>kg CO</t>
    </r>
    <r>
      <rPr>
        <b/>
        <vertAlign val="subscript"/>
        <sz val="11"/>
        <color theme="1"/>
        <rFont val="Calibri"/>
        <family val="2"/>
        <scheme val="minor"/>
      </rPr>
      <t>2</t>
    </r>
    <r>
      <rPr>
        <b/>
        <sz val="11"/>
        <color theme="1"/>
        <rFont val="Calibri"/>
        <family val="2"/>
        <scheme val="minor"/>
      </rPr>
      <t>e/l</t>
    </r>
  </si>
  <si>
    <t>Kevyt polttoöljy</t>
  </si>
  <si>
    <t>Puupelletti</t>
  </si>
  <si>
    <t>Scope 2: Suorat päästöt, sähkö</t>
  </si>
  <si>
    <t>Eritellyt tuotantomuodot ja vuosittainen jäännösjakauma (Markkinalähtöinen)</t>
  </si>
  <si>
    <t>Aluekohtainen: Valitse alasvetovalikosta laskettava vuosi sekä merkitse käytetyn sähkön määrä. Markkinalähtöinen: Valittavissa on vuosittainen sähkön jäännösjakauma sekä eri tuotantomuodoilla tuotetun sähkön päästökertoimet</t>
  </si>
  <si>
    <t>Polttoaineen kulutus kg</t>
  </si>
  <si>
    <t>-</t>
  </si>
  <si>
    <t>Lämmitys (epäsuorat)</t>
  </si>
  <si>
    <t>Tuotantotapa</t>
  </si>
  <si>
    <t>Scope 2: Suorat päästöt, kaukokylmä</t>
  </si>
  <si>
    <t>Scope 3: Epäsuorat päästöt, kaukokylmä</t>
  </si>
  <si>
    <t>Hankittu jäähdytys kWh</t>
  </si>
  <si>
    <t>Kaukokylmä</t>
  </si>
  <si>
    <t>Kaukokylmä epäsuorat</t>
  </si>
  <si>
    <t>Rakennustuotteet</t>
  </si>
  <si>
    <r>
      <t>Päästökerroin kg CO</t>
    </r>
    <r>
      <rPr>
        <b/>
        <vertAlign val="subscript"/>
        <sz val="11"/>
        <color theme="1"/>
        <rFont val="Calibri"/>
        <family val="2"/>
        <scheme val="minor"/>
      </rPr>
      <t>2</t>
    </r>
    <r>
      <rPr>
        <b/>
        <sz val="11"/>
        <color theme="1"/>
        <rFont val="Calibri"/>
        <family val="2"/>
        <scheme val="minor"/>
      </rPr>
      <t>e/kg</t>
    </r>
  </si>
  <si>
    <r>
      <t>Päästökerroin kg CO</t>
    </r>
    <r>
      <rPr>
        <b/>
        <vertAlign val="subscript"/>
        <sz val="11"/>
        <color theme="1"/>
        <rFont val="Calibri"/>
        <family val="2"/>
        <scheme val="minor"/>
      </rPr>
      <t>2</t>
    </r>
    <r>
      <rPr>
        <b/>
        <sz val="11"/>
        <color theme="1"/>
        <rFont val="Calibri"/>
        <family val="2"/>
        <scheme val="minor"/>
      </rPr>
      <t>e/m</t>
    </r>
  </si>
  <si>
    <r>
      <t>Päästökerroin kg CO</t>
    </r>
    <r>
      <rPr>
        <b/>
        <vertAlign val="subscript"/>
        <sz val="11"/>
        <color theme="1"/>
        <rFont val="Calibri"/>
        <family val="2"/>
        <scheme val="minor"/>
      </rPr>
      <t>2</t>
    </r>
    <r>
      <rPr>
        <b/>
        <sz val="11"/>
        <color theme="1"/>
        <rFont val="Calibri"/>
        <family val="2"/>
        <scheme val="minor"/>
      </rPr>
      <t>e/kpl</t>
    </r>
  </si>
  <si>
    <r>
      <t>Päästökerroin kg CO</t>
    </r>
    <r>
      <rPr>
        <b/>
        <vertAlign val="subscript"/>
        <sz val="11"/>
        <color theme="1"/>
        <rFont val="Calibri"/>
        <family val="2"/>
        <scheme val="minor"/>
      </rPr>
      <t>2</t>
    </r>
    <r>
      <rPr>
        <b/>
        <sz val="11"/>
        <color theme="1"/>
        <rFont val="Calibri"/>
        <family val="2"/>
        <scheme val="minor"/>
      </rPr>
      <t>e/m</t>
    </r>
    <r>
      <rPr>
        <b/>
        <vertAlign val="superscript"/>
        <sz val="11"/>
        <color theme="1"/>
        <rFont val="Calibri"/>
        <family val="2"/>
        <scheme val="minor"/>
      </rPr>
      <t>2</t>
    </r>
  </si>
  <si>
    <t>Lämmön- ja vedeneristys</t>
  </si>
  <si>
    <t>Akustiikkalevy, lasivilla 20 mm</t>
  </si>
  <si>
    <t>Akustiikkalevy, lasivilla 40 mm</t>
  </si>
  <si>
    <t>Akustiikkalevy, kivivilla</t>
  </si>
  <si>
    <t>Bitumikermikate, aluskermi TL2/TL3</t>
  </si>
  <si>
    <t>Bitumikermikate, tiivissauma</t>
  </si>
  <si>
    <t>Bitumikattolaattakate</t>
  </si>
  <si>
    <t>Bitumikermikate, yksikerroskate TL1</t>
  </si>
  <si>
    <t>Bitumikermikate, pintakermi TL2</t>
  </si>
  <si>
    <t>Selluvillalevy</t>
  </si>
  <si>
    <t>Selluvilla, puhallusvilla</t>
  </si>
  <si>
    <t>EPS-eriste</t>
  </si>
  <si>
    <t>Kevytsoramurske</t>
  </si>
  <si>
    <t>Vaahtolasimurske</t>
  </si>
  <si>
    <t>Lasivillaeriste, puhallusvilla</t>
  </si>
  <si>
    <t>Lasivillaeriste, tiheys 100 kg/m3</t>
  </si>
  <si>
    <t>Lasivillaeriste, tiheys 20 kg/m3</t>
  </si>
  <si>
    <t>Lasivillaeriste, tiheys 60 kg/m3</t>
  </si>
  <si>
    <t>Fenolieriste, alumiinipinnoitettu, 20mm</t>
  </si>
  <si>
    <t>Fenolieriste, alumiinipinnoitettu, 40-200mm</t>
  </si>
  <si>
    <t>Fenolieriste, mineraalipinnoitettu, 20mm</t>
  </si>
  <si>
    <t>Fenolieriste, mineraalipinnoitettu, 80-220mm</t>
  </si>
  <si>
    <t>PIR-eriste</t>
  </si>
  <si>
    <t>Kivivillaeriste ulkoseiniin, tiheys 61 kg/m3</t>
  </si>
  <si>
    <t>Kivivillaeriste kattoihin, tiheys 63 kg/m3</t>
  </si>
  <si>
    <t>Kivivillaeriste, puhallusvilla, keskimääräinen tiheys 33 kg/m3</t>
  </si>
  <si>
    <t>Kivivilla, pieni tiheys, keskiarvo 29,5 kg/m3</t>
  </si>
  <si>
    <t>Höyrynsulku, PE</t>
  </si>
  <si>
    <t>XPS-eriste</t>
  </si>
  <si>
    <t>Muovikuitu, PP</t>
  </si>
  <si>
    <t>Materiaali</t>
  </si>
  <si>
    <t>Scope 3: Tuotteet ja palvelut, Materiaalit</t>
  </si>
  <si>
    <t>Materiaalin käyttö kg</t>
  </si>
  <si>
    <t>Materiaalin käyttö m</t>
  </si>
  <si>
    <t>Materiaalin käyttö kpl</t>
  </si>
  <si>
    <r>
      <t>Materiaalin käyttö m</t>
    </r>
    <r>
      <rPr>
        <b/>
        <vertAlign val="superscript"/>
        <sz val="11"/>
        <color theme="1"/>
        <rFont val="Calibri"/>
        <family val="2"/>
        <scheme val="minor"/>
      </rPr>
      <t>2</t>
    </r>
  </si>
  <si>
    <r>
      <t>Päästökerroin CO</t>
    </r>
    <r>
      <rPr>
        <b/>
        <vertAlign val="subscript"/>
        <sz val="11"/>
        <color theme="1"/>
        <rFont val="Calibri"/>
        <family val="2"/>
        <scheme val="minor"/>
      </rPr>
      <t>2</t>
    </r>
    <r>
      <rPr>
        <b/>
        <sz val="11"/>
        <color theme="1"/>
        <rFont val="Calibri"/>
        <family val="2"/>
        <scheme val="minor"/>
      </rPr>
      <t>e kg/m</t>
    </r>
  </si>
  <si>
    <r>
      <t>Päästökerroin CO</t>
    </r>
    <r>
      <rPr>
        <b/>
        <vertAlign val="subscript"/>
        <sz val="11"/>
        <color theme="1"/>
        <rFont val="Calibri"/>
        <family val="2"/>
        <scheme val="minor"/>
      </rPr>
      <t>2</t>
    </r>
    <r>
      <rPr>
        <b/>
        <sz val="11"/>
        <color theme="1"/>
        <rFont val="Calibri"/>
        <family val="2"/>
        <scheme val="minor"/>
      </rPr>
      <t>e kg/kpl</t>
    </r>
  </si>
  <si>
    <r>
      <t>Päästökerroin CO</t>
    </r>
    <r>
      <rPr>
        <b/>
        <vertAlign val="subscript"/>
        <sz val="11"/>
        <color theme="1"/>
        <rFont val="Calibri"/>
        <family val="2"/>
        <scheme val="minor"/>
      </rPr>
      <t>2</t>
    </r>
    <r>
      <rPr>
        <b/>
        <sz val="11"/>
        <color theme="1"/>
        <rFont val="Calibri"/>
        <family val="2"/>
        <scheme val="minor"/>
      </rPr>
      <t>e kg/m</t>
    </r>
    <r>
      <rPr>
        <b/>
        <vertAlign val="superscript"/>
        <sz val="11"/>
        <color theme="1"/>
        <rFont val="Calibri"/>
        <family val="2"/>
        <scheme val="minor"/>
      </rPr>
      <t>2</t>
    </r>
  </si>
  <si>
    <t>Muovikalvo, PE 0,5 mm</t>
  </si>
  <si>
    <t>Muovikalvo, PE, 0,2 mm</t>
  </si>
  <si>
    <t>Routalevy, EPS</t>
  </si>
  <si>
    <t>Routalevy, EPS 120, 100 mm (22 kg/m3)</t>
  </si>
  <si>
    <t>Routalevy, EPS 200, 100 mm (30 kg/m3)</t>
  </si>
  <si>
    <t>Routalevy, EPS 300, 100 mm (40 kg/m3)</t>
  </si>
  <si>
    <t>Routalevy, XPS</t>
  </si>
  <si>
    <t>Routalevy, XPS 300, 100 mm (32 kg/m3)</t>
  </si>
  <si>
    <t>Routalevy, XPS 400, 100 mm (34 kg/m3)</t>
  </si>
  <si>
    <t>Routalevy, XPS 500, 100 mm (37 kg/m3)</t>
  </si>
  <si>
    <t>Suodatinkangas, käyttöluokka N1</t>
  </si>
  <si>
    <t>Suodatinkangas, käyttöluokka N2</t>
  </si>
  <si>
    <t>Suodatinkangas, käyttöluokka N3</t>
  </si>
  <si>
    <t>Suodatinkangas, käyttöluokka N4</t>
  </si>
  <si>
    <t>Suodatinkangas, käyttöluokka N5</t>
  </si>
  <si>
    <t>Valitse alasvetovalikosta laskettava materiaali. Merkkaa sen jälkeen käytetty määrä sen mukaan, missä muodossa päästökertoimia on saatavilla (kilot, metrit, kappaleet, neliömetrit). Jos valittavissa useita päästökertoimia, merkitse käytetyn materiaalin määrä vain yhteen soluun.</t>
  </si>
  <si>
    <t>Rakennuslevyt</t>
  </si>
  <si>
    <t>Lastulevy</t>
  </si>
  <si>
    <t>Lastulevy, melamiinipinnoitettu</t>
  </si>
  <si>
    <t>Kuitusementtilevy</t>
  </si>
  <si>
    <t>Kuitulevy, kova</t>
  </si>
  <si>
    <t>Kuitulevy, puolikova, mdf</t>
  </si>
  <si>
    <t>Kuitulevy, puolikova, mdf, melamiinipinnoitettu</t>
  </si>
  <si>
    <t>Kuitulevy, huokoinen, impregnoitu</t>
  </si>
  <si>
    <t>Kipsi-kartonkilevy sisäkäyttöön</t>
  </si>
  <si>
    <t>Kipsi-kartonkilevy, erikoiskova</t>
  </si>
  <si>
    <t>Kipsi-kartonkilevy, tuulensuojalevy</t>
  </si>
  <si>
    <t>OSB-levy</t>
  </si>
  <si>
    <t>Vaneri, pinnoitettu koivuvaneri</t>
  </si>
  <si>
    <t>Vaneri, pinnoittamaton koivuvaneri</t>
  </si>
  <si>
    <t>Vaneri, pinnoitettu havuvaneri</t>
  </si>
  <si>
    <t>Vaneri, pinnoittamaton havuvaneri</t>
  </si>
  <si>
    <t>Betoniharkko, eristetty, U 0,17 W/m2K</t>
  </si>
  <si>
    <t>Betoniharkko, kevytrunkoaine, eristetty, U 0,17 W/m2K</t>
  </si>
  <si>
    <t>Betoniharkko, kevytrunkoaine, eristämätön</t>
  </si>
  <si>
    <t>Betoniharkko, muottiharkko</t>
  </si>
  <si>
    <t>Betoninen päällystekivi</t>
  </si>
  <si>
    <t>Betonikattotiili</t>
  </si>
  <si>
    <t>Betonipaalu RTB-250</t>
  </si>
  <si>
    <t>Betonipaalu RTB-300</t>
  </si>
  <si>
    <t>Betonipaalu RTB-350</t>
  </si>
  <si>
    <t>Betoniputki 225 mm, B</t>
  </si>
  <si>
    <t>Betoniputki 300 mm, B</t>
  </si>
  <si>
    <t>Betoniputki 300 mm, Dr</t>
  </si>
  <si>
    <t>Betoniputki 400 mm, B</t>
  </si>
  <si>
    <t>Betoniputki 400 mm, Dr</t>
  </si>
  <si>
    <t>Betoniputki 500 mm, B</t>
  </si>
  <si>
    <t>Betoniputki 500 mm, Br</t>
  </si>
  <si>
    <t>Betoniputki 500 mm, Dr</t>
  </si>
  <si>
    <t>Betoniputki 600 mm, B</t>
  </si>
  <si>
    <t>Betoniputki 600 mm, Br</t>
  </si>
  <si>
    <t>Betoniputki 600 mm, Dr</t>
  </si>
  <si>
    <t>Betoniputki 800 mm, Br</t>
  </si>
  <si>
    <t>Betoniputki 800 mm, Dr</t>
  </si>
  <si>
    <t>Betoniputki 1000 mm, Br</t>
  </si>
  <si>
    <t>Betoniputki 1000 mm, Dr</t>
  </si>
  <si>
    <t>Betoniputki 1200 mm, Br</t>
  </si>
  <si>
    <t>Betoniputki 1200 mm, Dr</t>
  </si>
  <si>
    <t>Betoniputki 1400 mm, Br</t>
  </si>
  <si>
    <t>Betoniputki 1400 mm, Dr</t>
  </si>
  <si>
    <t>Betoniputki 1600 mm, Br</t>
  </si>
  <si>
    <t>Betoniputki 1600 mm, Dr</t>
  </si>
  <si>
    <t>Betoniputki 2000 mm, Br</t>
  </si>
  <si>
    <t>Betoniputki 2000 mm, Dr</t>
  </si>
  <si>
    <t>Betoniputki, raudoittamaton</t>
  </si>
  <si>
    <t>Betoniputki, Qmax, sisähalk. 300/450 mm, soikea</t>
  </si>
  <si>
    <t>Betoniputki, Qmax, sisähalk. 500/750 mm, soikea</t>
  </si>
  <si>
    <t>Betonikaivo Cr 2000</t>
  </si>
  <si>
    <t>Betonikaivo Cr 800</t>
  </si>
  <si>
    <t>Murske</t>
  </si>
  <si>
    <t>Betonivalmisosat, teräsbetonipalkki 480 x 380 mm</t>
  </si>
  <si>
    <t>Betonivalmisosat, teräsbetonipalkki 580 x 380 mm</t>
  </si>
  <si>
    <t>Betonivalmisosat, teräsbetonipalkki 680 x 380 mm</t>
  </si>
  <si>
    <t>Betonivalmisosat, teräsbetonipalkki 780 x 480 mm</t>
  </si>
  <si>
    <t>Betonivalmisosat, jännebetonipalkki</t>
  </si>
  <si>
    <t>Betonivalmisosat, pilari 280 x 280 mm</t>
  </si>
  <si>
    <t>Betonivalmisosat, pilari 380 x 380 mm</t>
  </si>
  <si>
    <t>Betonivalmisosat, pilari 480 x 480 mm</t>
  </si>
  <si>
    <t>Betonivalmisosat, pilari 580 x 580 mm</t>
  </si>
  <si>
    <t>Betonivalmisosat, ontelolaatta 200 mm</t>
  </si>
  <si>
    <t>Betonivalmisosat, ontelolaatta 265 mm</t>
  </si>
  <si>
    <t>Betonivalmisosat, ontelolaatta 320 mm</t>
  </si>
  <si>
    <t>Betonivalmisosat, ontelolaatta 370 mm</t>
  </si>
  <si>
    <t>Betonivalmisosat, ontelolaatta 400 mm</t>
  </si>
  <si>
    <t>Betonivalmisosat, ontelolaatt, 500 mm</t>
  </si>
  <si>
    <t>Betonivalmisosat, sisäkuori 150, eriste 140 mm</t>
  </si>
  <si>
    <t>Betonivalmisosat, sisäkuori 180, eriste 140 mm</t>
  </si>
  <si>
    <t>Betonivalmisosat, sisäkuori 200, eriste 140 mm</t>
  </si>
  <si>
    <t>Betonivalmisosat, väliseinä 200 mm</t>
  </si>
  <si>
    <t>Betonivalmisosat, väliseinäelementti 150 mm</t>
  </si>
  <si>
    <t>Betonivalmisosat, väliseinäelementti 250 mm</t>
  </si>
  <si>
    <t>Betonivalmisosat, sandwich 80+220+80 mm</t>
  </si>
  <si>
    <t>Betonivalmisosat, sandwich 150+220+80 mm</t>
  </si>
  <si>
    <t>Betonivalmisosat, ripalaatta, TT-laatta C50/60</t>
  </si>
  <si>
    <t>Betonivalmisosat, massiiviparvekelaatta 240 mm, C30/37</t>
  </si>
  <si>
    <t>Betonivalmisosat, massiivilaatta 260 mm</t>
  </si>
  <si>
    <t>Betonivalmisosat, massiivilaatta 220 mm</t>
  </si>
  <si>
    <t>Betonivalmisosat, massiivilaatta 280 mm</t>
  </si>
  <si>
    <t>Valmisbetoni, C30/37 P0</t>
  </si>
  <si>
    <t>Valmisbetoni, C30/37 P30</t>
  </si>
  <si>
    <t>Valmisbetoni, C30/37 P0, GWP.70</t>
  </si>
  <si>
    <t>Valmisbetoni, C30/37 P30, GWP.70</t>
  </si>
  <si>
    <t>Valmisbetoni, C35/45 P0</t>
  </si>
  <si>
    <t>Valmisbetoni, C35/45 P30</t>
  </si>
  <si>
    <t>Valmisbetoni, C35/45 P50</t>
  </si>
  <si>
    <t>Valmisbetoni, C35/45 P0, GWP.70</t>
  </si>
  <si>
    <t>Valmisbetoni, C35/45 P30, GWP.70</t>
  </si>
  <si>
    <t>Valmisbetoni, C35/45 P50, GWP.70</t>
  </si>
  <si>
    <t>Valmisbetoni, C45/55 P50</t>
  </si>
  <si>
    <t>Valmisbetoni, C45/55 P50, GWP.70</t>
  </si>
  <si>
    <t>Valmisbetoni C20/25, ei huokostettu</t>
  </si>
  <si>
    <t>Valmisbetoni C25/30, ei huokostettu</t>
  </si>
  <si>
    <t>Valmisbetoni C30/37, ei huokostettu</t>
  </si>
  <si>
    <t>Valmisbetoni C35/45, ei huokostettu</t>
  </si>
  <si>
    <t>Valmisbetoni C45/55, ei huokostettu</t>
  </si>
  <si>
    <t>Valmisbetoni C50/60, ei huokostettu</t>
  </si>
  <si>
    <t>Valmisbetoni C30/37, huokostettu</t>
  </si>
  <si>
    <t>Valmisbetoni C35/45, huokostettu</t>
  </si>
  <si>
    <t>Valmisbetoni C45/55, huokostettu</t>
  </si>
  <si>
    <t>Valmisbetoni C50/60, huokostettu</t>
  </si>
  <si>
    <t>Valmisbetoni C20/25, ei huokostettu, GWP.70</t>
  </si>
  <si>
    <t>Valmisbetoni C25/30, ei huokostettu, GWP.70</t>
  </si>
  <si>
    <t>Valmisbetoni C30/37, ei huokostettu, GWP.70</t>
  </si>
  <si>
    <t>Valmisbetoni C35/45, ei huokostettu, GWP.70</t>
  </si>
  <si>
    <t>Valmisbetoni C45/55, ei huokostettu, GWP.70</t>
  </si>
  <si>
    <t>Valmisbetoni C50/60, ei huokostettu, GWP.70</t>
  </si>
  <si>
    <t>Valmisbetoni C30/37, huokostettu, GWP.70</t>
  </si>
  <si>
    <t>Valmisbetoni C35/45, huokostettu, GWP.70</t>
  </si>
  <si>
    <t>Valmisbetoni C45/55, huokostettu, GWP.70</t>
  </si>
  <si>
    <t>Valmisbetoni C50/60, huokostettu, GWP.70</t>
  </si>
  <si>
    <t>Betonituotteet</t>
  </si>
  <si>
    <t>Teräs- ja metallituotteet</t>
  </si>
  <si>
    <t>Ruostumaton terästanko</t>
  </si>
  <si>
    <t>Teräsraudoite betonirakenteisiin</t>
  </si>
  <si>
    <t>Teräslanka, jännebetonirakenteiden punoksiin</t>
  </si>
  <si>
    <t>Alumiinikalvo, romu 0%</t>
  </si>
  <si>
    <t>Alumiiniprofiili, romu 100%</t>
  </si>
  <si>
    <t>Alumiiniprofiili, romu min 75%</t>
  </si>
  <si>
    <t>Alumiiniprofiili, -putki, -tanko, suulakepuristettu, romu 0%</t>
  </si>
  <si>
    <t>Alumiinilevy seiniin ja kattoihin, romu 0%</t>
  </si>
  <si>
    <t>Kuparilevy</t>
  </si>
  <si>
    <t>Kupariputki</t>
  </si>
  <si>
    <t>Kuparilanka</t>
  </si>
  <si>
    <t>Metalliosat paaluihin, paalujatkoksiin ja paalukenkiin</t>
  </si>
  <si>
    <t>Sandwich-elementti, teräs, mineraalivillaeriste</t>
  </si>
  <si>
    <t>Sandwich-elementti, teräs, PIR-eristys</t>
  </si>
  <si>
    <t>Ruostumaton teräslevy</t>
  </si>
  <si>
    <t>Ruostumaton teräsputki</t>
  </si>
  <si>
    <t>Teräsprofiili ja -verkko, kevytrakenteinen, sinkitty</t>
  </si>
  <si>
    <t>Teräslevy katteisiin ja seiniin, kuumasinkitty, maalattu tai maalaamaton tai COR-TEN pinnalle</t>
  </si>
  <si>
    <t>Teräsrakenne, kantava rakenne, pinnoitettu tai COR-TEN pinta</t>
  </si>
  <si>
    <t>Teräspalkki, HEA 100 mm, 16,7 kg/m</t>
  </si>
  <si>
    <t>Teräspalkki, HEA 200 mm, 42,3 kg/m</t>
  </si>
  <si>
    <t>Teräspalkki, HEB 180 mm, 52,5 kg/m</t>
  </si>
  <si>
    <t>Teräspalkki, HEB 200 mm, 61,3 kg/m</t>
  </si>
  <si>
    <t>Teräspalkki, HEB 240 mm, 83,2 kg/m</t>
  </si>
  <si>
    <t>Teräspalkki, HEB 280 mm, 103 kg/m</t>
  </si>
  <si>
    <t>Teräspalkki, HEB 300 mm, 117 kg/m</t>
  </si>
  <si>
    <t>Teräspalkki, HEB 320 mm, 127 kg/m</t>
  </si>
  <si>
    <t>Teräspalkki, HEB 360 mm, 142 kg/m</t>
  </si>
  <si>
    <t>Teräspalkki, HEB 400 mm, 155 kg/m</t>
  </si>
  <si>
    <t>Teräspalkki, HEB 450 mm, 171 kg/m</t>
  </si>
  <si>
    <t>Teräspalkki, HEB 500 mm, 187 kg/m</t>
  </si>
  <si>
    <t>Teräspalkki, IPE 160 mm, 15,8 kg/m</t>
  </si>
  <si>
    <t>Teräspalkki, IPE 200 mm, 22,4 kg/m</t>
  </si>
  <si>
    <t>Teräspalkki, IPE 240 mm, 30,7 kg/m</t>
  </si>
  <si>
    <t>Teräspalkki, IPE 400 mm, 66,3 kg/m</t>
  </si>
  <si>
    <t>Teräspalkki, IPE 450 mm, 77,6 kg/m</t>
  </si>
  <si>
    <t>Teräspalkki, IPE 500 mm, 90,7 kg/m</t>
  </si>
  <si>
    <t>Teräspalkki, L 60 x 60 x 6 mm, 2,71 kg/m</t>
  </si>
  <si>
    <t>Teräspalkki, putkipalkki 100 x 100 x 6 mm, 17 kg/m</t>
  </si>
  <si>
    <t>Teräspalkki, putkipalkki 140 x 80 x 6 mm, 18,9 kg/m</t>
  </si>
  <si>
    <t>Teräspalkki, putkipalkki 150 x 150 x 5 mm, 22,3 kg/m</t>
  </si>
  <si>
    <t>Teräspalkki, putkipalkki 150 x 150 x 6 mm, 26,4 kg/m</t>
  </si>
  <si>
    <t>Teräspalkki, putkipalkki 200 x 200 x 10 mm, 57 kg/m</t>
  </si>
  <si>
    <t>Teräspalkki, putkipalkki 250 x 250 x 10 mm, 72,7 kg/m</t>
  </si>
  <si>
    <t>Teräspalkki, putkipalkki 300 x 300 x 10 mm, 88,4 kg/m</t>
  </si>
  <si>
    <t>Teräspalkki, putkipalkki 50 x 50 x 4 mm, 4,2 kg/m</t>
  </si>
  <si>
    <t>Teräspalkki, UNP 100 mm, 10,6 kg/m</t>
  </si>
  <si>
    <t>Teräspalkki, UNP 200 mm, 25,3 kg/m</t>
  </si>
  <si>
    <t>Teräspalkki, U-palkki 100 x 50 x 3 mm, 4,48 kg/m</t>
  </si>
  <si>
    <t>Teräspalkki, UPE 100 mm, 9,8 kg/m</t>
  </si>
  <si>
    <t>Teräspalkki, UPE 160 mm, 17 kg/m</t>
  </si>
  <si>
    <t>Teräspalkki, UPE 200 mm, 22,8 kg/m</t>
  </si>
  <si>
    <t>Puutuotteet</t>
  </si>
  <si>
    <t>Mineraali- ja lasituotteet</t>
  </si>
  <si>
    <t>CLT, ristiinliimattu monikerroslevy</t>
  </si>
  <si>
    <t>Liimapuu, GLT</t>
  </si>
  <si>
    <t>Kerrannaisliimattu viilupuu GLVL</t>
  </si>
  <si>
    <t>Lämpökäsitelty höyläpuu sisäkäyttöön</t>
  </si>
  <si>
    <t>Lämpökäsitelty höyläpuu ulkokäyttöön</t>
  </si>
  <si>
    <t>Lämpökäsitelty sahatavara sisäkäyttöön</t>
  </si>
  <si>
    <t>Lämpökäsitelty sahatavara ulkokäyttöön</t>
  </si>
  <si>
    <t>Kyllästetty puu</t>
  </si>
  <si>
    <t>Lamellihirsiseinä</t>
  </si>
  <si>
    <t>LVL, viilupuu, pilari- ja palkkirakenteisiin</t>
  </si>
  <si>
    <t>LVL, viilupuu seinärakenteisiin</t>
  </si>
  <si>
    <t>Sahatavara</t>
  </si>
  <si>
    <t>Höylätavara</t>
  </si>
  <si>
    <t>Puupalkki</t>
  </si>
  <si>
    <t>Puupilari</t>
  </si>
  <si>
    <t>Runkopuutavara 50 x 100 mm</t>
  </si>
  <si>
    <t>Sahapuutavara, 22 x 150 mm, kuusi</t>
  </si>
  <si>
    <t>Tolppa (puu) 100 x 100 mm</t>
  </si>
  <si>
    <t>Muottipuutavara, 25 x 100 mm</t>
  </si>
  <si>
    <t>Muottilaudat, 25 x 100 mm</t>
  </si>
  <si>
    <t>Tukiseiväs puu, kyllästetty 28 x28x1500 mm</t>
  </si>
  <si>
    <t>Puupylväs, aidan, kyllästetty (ø 60 x 1000 mm)</t>
  </si>
  <si>
    <t>Vaneri, havuvaneri, 480 kg/m3</t>
  </si>
  <si>
    <t>Pinnoitettu vaneri, 21x1250x2500 mm.</t>
  </si>
  <si>
    <t>Pinnoitettu vaneri, 9x1250x2500 mm</t>
  </si>
  <si>
    <t>Lastulevy, 700 kg/m3</t>
  </si>
  <si>
    <t>Painekyllästetty puutavara, 50 x 100 mm, sahattu</t>
  </si>
  <si>
    <t>Valitse alasvetovalikosta laskettava vuosi ja merkitse tietoja  sen mukaan, kuinka paljon muualle vuokrattu laite/asunto on käyttänyt vuoden aikana energiaa (polttoaine, sähkö ja lämmitys).</t>
  </si>
  <si>
    <t>Puupaalu, halkaisija 150 mm</t>
  </si>
  <si>
    <t>Puupaalu, halkaisija 200 mm</t>
  </si>
  <si>
    <t>Puupaalu, kyllästetty, halkaisija 150 mm</t>
  </si>
  <si>
    <t>Puupaalu, kyllästetty, halkaisija 200 mm</t>
  </si>
  <si>
    <t>Kevytbetoni, höyrykarkaistu harkko, raudoittamaton ulkoseiniin</t>
  </si>
  <si>
    <t>Kevytbetoni, höyrykarkaistu harkko, raudoittamaton sisäseiniin</t>
  </si>
  <si>
    <t>Kevytbetoni, höyrykarkaistu, raudoitettu lattia- ja seinäelementti</t>
  </si>
  <si>
    <t>Kevytbetoni, höyrykarkaistu, raudoitettu palkki</t>
  </si>
  <si>
    <t>Poltettu tiili, vaalea</t>
  </si>
  <si>
    <t>Poltettu tiili, punainen</t>
  </si>
  <si>
    <t>Kalkkihiekkatiili, kalkkihiekkaharkko</t>
  </si>
  <si>
    <t>Keraaminen lattialaatta</t>
  </si>
  <si>
    <t>Keraaminen seinälaatta</t>
  </si>
  <si>
    <t>Pinnoitettu lasi</t>
  </si>
  <si>
    <t>Tasolasi</t>
  </si>
  <si>
    <t>Lattiatasoite</t>
  </si>
  <si>
    <t>Eristyslasi</t>
  </si>
  <si>
    <t>Laminoitu lasi</t>
  </si>
  <si>
    <t>Peililasi</t>
  </si>
  <si>
    <t>Muurauslaasti</t>
  </si>
  <si>
    <t>Lämpökarkaistu lasi</t>
  </si>
  <si>
    <t>Rappauslaasti</t>
  </si>
  <si>
    <t>Puu-alumiini-ikkuna kolminkertaisella lasilla</t>
  </si>
  <si>
    <t>Luonnonkivilaatta julkisivuihin ja lattioihin</t>
  </si>
  <si>
    <t>Luonnonkivi, katukivi</t>
  </si>
  <si>
    <t>Luonnonkivi, liuskekivi julkisivuihin ja pihoille</t>
  </si>
  <si>
    <t>Luonnonkivi, reunakivi</t>
  </si>
  <si>
    <t>Lattiapäällysteet ja pintamateriaalit</t>
  </si>
  <si>
    <t>Parkettilattia</t>
  </si>
  <si>
    <t>Tekstiililattia, polyamidi</t>
  </si>
  <si>
    <t>Vinyylilattia</t>
  </si>
  <si>
    <t>Maali, akrylaatti, vesiohenteinen ulkokäyttöön</t>
  </si>
  <si>
    <t>Maali, akrylaatti, vesiohenteinen sisäkäyttöön</t>
  </si>
  <si>
    <t>Maali, epoksimaali, lattiamaali sisäkäyttöön</t>
  </si>
  <si>
    <t>Maali, silikaattimaali mineraalisille pinnoille</t>
  </si>
  <si>
    <t>Laastit ja sementit</t>
  </si>
  <si>
    <t>Laasti, JB 600/3 Juotoslaasti C50/60-4</t>
  </si>
  <si>
    <t>Laasti, paikkauslaasti REP 45</t>
  </si>
  <si>
    <t>Laasti, tasoituslaasti REP 970</t>
  </si>
  <si>
    <t>Laasti, RL 45 Ruiskukorjauslaasti C35/45–4</t>
  </si>
  <si>
    <t>Sementti, Oiva, CEM II B-M (SLL) 42,5N</t>
  </si>
  <si>
    <t>Sementti, Pika, CEM I 52,5 R</t>
  </si>
  <si>
    <t>Sementti, Rapid, CEM II/A-LL 52,5 N</t>
  </si>
  <si>
    <t>Sementti, Rapid CEM II/A-LL 42,5 R</t>
  </si>
  <si>
    <t>Sementti, SR, CEM I 42,5 N SR3</t>
  </si>
  <si>
    <t>Sementti, Kolmossementti CEM III/A 52,5 L</t>
  </si>
  <si>
    <t>Ilmanvaihtokone lämmön talteenotolla</t>
  </si>
  <si>
    <t>Kylpyhuoneen hana</t>
  </si>
  <si>
    <t>Juomavesiputki, PEX</t>
  </si>
  <si>
    <t>Sähkökaapelin suojaputki, PVC</t>
  </si>
  <si>
    <t>Sähkökaapeli, matalajännite</t>
  </si>
  <si>
    <t>Sähkökeskus</t>
  </si>
  <si>
    <t>Koneellinen poistoilmanvaihto</t>
  </si>
  <si>
    <t>Lämmönjakoputki, PEX</t>
  </si>
  <si>
    <t>Ilmalämpöpumppu</t>
  </si>
  <si>
    <t>Keittiön hana</t>
  </si>
  <si>
    <t>Yleisvalaisin, LED</t>
  </si>
  <si>
    <t>Henkilöhissi</t>
  </si>
  <si>
    <t>Vesikiertoinen patteri</t>
  </si>
  <si>
    <t>Suihkun hana letkulla</t>
  </si>
  <si>
    <t>Aurinkopaneeli</t>
  </si>
  <si>
    <t>Aurinkolämpökeräin</t>
  </si>
  <si>
    <t>Sprinkler-järjestelmän johdot</t>
  </si>
  <si>
    <t>WC-istuin</t>
  </si>
  <si>
    <t>Ilmanvaihtokanava, metalli</t>
  </si>
  <si>
    <t>Kylpyhuoneen pesuallas</t>
  </si>
  <si>
    <t>Vesipumppu</t>
  </si>
  <si>
    <t>Kylpyhuoneen täyskorkea kaappi</t>
  </si>
  <si>
    <t>Kylpyhuoneen peilikaappi</t>
  </si>
  <si>
    <t>Kylpyhuoneen allaskaappi</t>
  </si>
  <si>
    <t>Teräshormi</t>
  </si>
  <si>
    <t>Laakaovi</t>
  </si>
  <si>
    <t>Metallinen palo-ovi</t>
  </si>
  <si>
    <t>Ulko-ovi, lasi alumiinikehyksellä</t>
  </si>
  <si>
    <t>Puinen ulko-ovi metallikehyksellä</t>
  </si>
  <si>
    <t>Puinen ulko-ovi puukehyksellä</t>
  </si>
  <si>
    <t>Lasitiili</t>
  </si>
  <si>
    <t>Kiinteä lasijulkisivu alumiinikehyksillä</t>
  </si>
  <si>
    <t>Keittiön alakaappi</t>
  </si>
  <si>
    <t>Keittiön yläkaappi</t>
  </si>
  <si>
    <t>Lasinen väliseinä alumiinikehyksellä</t>
  </si>
  <si>
    <t>Lasinen väliseinä puukehyksellä</t>
  </si>
  <si>
    <t>Puinen portaikko</t>
  </si>
  <si>
    <t>Talotekniset- ja täydentävät rakennustuotteet</t>
  </si>
  <si>
    <t>Pohja- ja piharakentamisen tuotteet</t>
  </si>
  <si>
    <t>Asfalttibetoni (AB)</t>
  </si>
  <si>
    <t>Avoin asfaltti (AA)</t>
  </si>
  <si>
    <t>Pehmeä asfalttibetoni (PAB)</t>
  </si>
  <si>
    <t>Kivimastiksiasfaltti (SMA)</t>
  </si>
  <si>
    <t>Valuasfaltti (VA)</t>
  </si>
  <si>
    <t>Asfalttibetoni kantavaan kerrokseen (ABK)</t>
  </si>
  <si>
    <t>Geotekstiili, PP</t>
  </si>
  <si>
    <t>Sora ja hiekka</t>
  </si>
  <si>
    <t>Stabilointiaine, sementti</t>
  </si>
  <si>
    <t>Stabilointiaine, kalkki-sementti, sivutuotteita, POZ</t>
  </si>
  <si>
    <t>Stabilointiaine, kalkki-sementti, KC30 vaativiin kohteisiin</t>
  </si>
  <si>
    <t>Stabilointiaine, kalkki-sementti, KC50, yleinen</t>
  </si>
  <si>
    <t>Stabilointiaine, kalkki-sementti-kipsi, sivutuotteita, hyvin vaativiin kohteisiin (GTC)</t>
  </si>
  <si>
    <t>Stabilointiaine, sementti, sivutuotteita, GREEN</t>
  </si>
  <si>
    <t>Bitumi</t>
  </si>
  <si>
    <t>Bitumiemulsio (65 % bitumia, 34 % vettä)</t>
  </si>
  <si>
    <t>Bitumikermi, aluskermi</t>
  </si>
  <si>
    <t>Bitumikermi, pintakermi</t>
  </si>
  <si>
    <t>Bitumikermi, 2-kerroskate</t>
  </si>
  <si>
    <t>Sepeli ja murske</t>
  </si>
  <si>
    <t>Putket</t>
  </si>
  <si>
    <t>2Mpuk DN 65 putkielementti, teräs/PUR/PE</t>
  </si>
  <si>
    <t>2Mpuk DN 100 putkielementti, teräs/PUR/PE</t>
  </si>
  <si>
    <t>2Mpuk DN 150 putkielementti, teräs/PUR/PE</t>
  </si>
  <si>
    <t>Putki, muoviputki 160 mm, PP, 6M, SN8, sis. muhvin</t>
  </si>
  <si>
    <t>Putki, muoviputki 200 mm, PP, 6M, SN8, sis. muhvin</t>
  </si>
  <si>
    <t>Putki, muoviputki 250 mm, PP, 6M, SN8, sis. muhvin</t>
  </si>
  <si>
    <t>Putki, muoviputki 315 mm, PP, 6M, SN8, sis. muhvin</t>
  </si>
  <si>
    <t>Putki, muoviputki 400 mm, PP, 6M, SN8, sis. muhvin</t>
  </si>
  <si>
    <t>Putki, muoviputki 200 mm, PP, SN8, kaksikerros, sis. muhvin</t>
  </si>
  <si>
    <t>Putki, muoviputki 250 mm, PP, SN8, kaksikerros, sis. muhvin</t>
  </si>
  <si>
    <t>Putki, muoviputki 315 mm, PP, SN8, kaksikerros, sis. muhvin</t>
  </si>
  <si>
    <t>Putki, muoviputki 400 mm, PP, SN8, kaksikerros, sis. muhvin</t>
  </si>
  <si>
    <t>Putki, muoviputki 450 mm, PP, SN8, kaksikerros, sis. muhvin</t>
  </si>
  <si>
    <t>Putki, muoviputki 560 mm, PP, SN8, kaksikerros, sis. muhvin</t>
  </si>
  <si>
    <t>Putki, muoviputki 680 mm, PP, SN8, kaksikerros, sis. muhvin</t>
  </si>
  <si>
    <t>Putki, muoviputki 200 mm, PVC, 6M, SN8, sis. muhvin</t>
  </si>
  <si>
    <t>Putki, muoviputki 250 x 7,3 mm, PVC, 2M, SN8</t>
  </si>
  <si>
    <t>Putki, muoviputki 250 mm, PVC, 6M, SN8, sis. muhvin</t>
  </si>
  <si>
    <t>Putki, muoviputki 315 x 9,2 mm, PVC, 2M, SN8</t>
  </si>
  <si>
    <t>Putki, muoviputki 315 mm, PVC, 6M, SN8, sis. muhvin</t>
  </si>
  <si>
    <t>Putki, muoviputki, 400 x 11,7 mm, PVC, 2M</t>
  </si>
  <si>
    <t>Putki, muoviputki 400 mm, PVC, 6M, SN8, sis. muhvin</t>
  </si>
  <si>
    <t>Putki, vesijohtoputki 75 mm, PE, PN10, RC suojakuori</t>
  </si>
  <si>
    <t>Putki, vesijohtoputki 75 mm, PE, PN10, siniraita, sis. sähköhitsausmuhvi (0,08 kpl/jm)</t>
  </si>
  <si>
    <t>Putki, vesijohtoputki 90 mm, PE, PN10, RC suojakuori, sis. sähköhitsausmuhvi (0,08 kpl/jm)</t>
  </si>
  <si>
    <t>Putki, vesijohtoputki 90 mm, PE, PN10, siniraita, sis. sähköhitsausmuhvi (0,08 kpl/jm)</t>
  </si>
  <si>
    <t>Putki, vesijohtoputki 110 mm, PE, PN10, RC suojakuori, sis. sähköhitsausmuhvi (0,17 kpl/jm)</t>
  </si>
  <si>
    <t>Putki, vesijohtoputki 110 mm, PE, PN10, siniraita, sis. sähköhitsausmuhvi (0,17 kpl/jm)</t>
  </si>
  <si>
    <t>Putki, vesijohtoputki 140 mm, PE, PN10, RC suojakuori, sis. sähköhitsausmuhvi (0,17 kpl/jm)</t>
  </si>
  <si>
    <t>Putki, vesijohtoputki 140 mm, PE, PN10, siniraita, sis. sähköhitsausmuhvi (0,17 kpl/jm)</t>
  </si>
  <si>
    <t>Putki, vesijohtoputki 160 mm, PE, PN10, RC suojakuori, sis. sähköhitsausmuhvi (0,17 kpl/jm)</t>
  </si>
  <si>
    <t>Putki, vesijohtoputki 160 mm, PE, PN10, siniraita, sis. sähköhitsausmuhvi (0,17 kpl/jm)</t>
  </si>
  <si>
    <t>Putki, vesijohtoputki 180 mm, PE, PN10, RC suojakuori, sis. sähköhitsausmuhvi (0,17 kpl/jm)</t>
  </si>
  <si>
    <t>Putki, vesijohtoputki 180 mm, PE, PN10, siniraita, sis. sähköhitsausmuhvi (0,17 kpl/jm)</t>
  </si>
  <si>
    <t>Putki, vesijohtoputki 200 mm, PE, PN10, RC suojakuori, sis. sähköhitsausmuhvi (0,17 kpl/jm)</t>
  </si>
  <si>
    <t>Putki, vesijohtoputki 200 mm, PE, PN10, siniraita, sis. sähköhitsausmuhvi (0,17 kpl/jm)</t>
  </si>
  <si>
    <t>Putki, vesijohtoputki 225 mm, PE, PN10, RC suojakuori, sis. sähköhitsausmuhvi (0,17 kpl/jm)</t>
  </si>
  <si>
    <t>Putki, vesijohtoputki 225 mm, PE, PN10, siniraita, sis. sähköhitsausmuhvi (0,17 kpl/jm)</t>
  </si>
  <si>
    <t>Putki, vesijohtoputki 250 mm, PE, PN10, RC suojakuori, sis. sähköhitsausmuhvi (0,17 kpl/jm)</t>
  </si>
  <si>
    <t>Putki, vesijohtoputki 250 mm, PE, PN10, siniraita, sis. sähköhitsausmuhvi (0,17 kpl/jm)</t>
  </si>
  <si>
    <t>Putki, vesijohtoputki 315 mm, PE, PN10, RC, suojakuori</t>
  </si>
  <si>
    <t>Putki, vesijohtoputki 315 mm, PE, PN10, siniraita</t>
  </si>
  <si>
    <t>Putki, vesijohtoputki 355 mm, PE, PN10, RC suojakuori</t>
  </si>
  <si>
    <t>Putki, vesijohtoputki 355 mm, PE, PN10, siniraita</t>
  </si>
  <si>
    <t>Putki, vesijohtoputki 400 mm, PE, PN10, RC suojakuori</t>
  </si>
  <si>
    <t>Putki, vesijohtoputki 400 mm, PE, PN10, siniraita</t>
  </si>
  <si>
    <t>Putki, vesijohtoputki 450 mm, PE, PN10, siniraita</t>
  </si>
  <si>
    <t>Putki, vesijohtoputki 500 mm, PE, PN10, siniraita</t>
  </si>
  <si>
    <t>Putki, vesijohtoputki 710 mm, PE, PN10, siniraita</t>
  </si>
  <si>
    <t>Putki, vesijohtoputki 800 mm, PE, PN10, siniraita</t>
  </si>
  <si>
    <t>Putki, vesijohtoputki 110 mm, PVC, PN10</t>
  </si>
  <si>
    <t>Putki, vesijohtoputki 160 mm, PVC, PN10</t>
  </si>
  <si>
    <t>Teräsputki, suojaputki d127/6,3 (18,7 kg/m)</t>
  </si>
  <si>
    <t>Teräsputki, suojaputki d140/8 (26 kg/m)</t>
  </si>
  <si>
    <t>Teräsputki, suojaputki d168 (39 kg/m)</t>
  </si>
  <si>
    <t>Teräsputki, suojaputki d220 (51,6 kg/m)</t>
  </si>
  <si>
    <t>Teräsputki, suojaputki d270 (64,9 kg/m)</t>
  </si>
  <si>
    <t>Teräsputki, suojaputki d406 (97,8 kg/m)</t>
  </si>
  <si>
    <t>Teräsputki, suojaputki d508/10 (123 kg/m)</t>
  </si>
  <si>
    <t>Teräsputki, suojaputki d610 (148 kg/m)</t>
  </si>
  <si>
    <t>Teräsputki, suojaputki d813/12,5 (247 kg/m)</t>
  </si>
  <si>
    <t>Teräsputki, suojaputki, vesihuolto 114,3 x 3,6 mm (9,83 kg/m)</t>
  </si>
  <si>
    <t>Teräsputki, suojaputki, vesihuolto 168,3 x 4,0 mm (16,2 kg/m)</t>
  </si>
  <si>
    <t>Teräsputki, suojaputki, vesihuolto 114,3 x 6,3 mm (16,8 kg/m)</t>
  </si>
  <si>
    <t>Teräsputki, suojaputki, vesihuolto 168,3 x 6,3 mm (25,2 kg/m)</t>
  </si>
  <si>
    <t>Teräsputki, suojaputki, vesihuolto 219,1 x 4,5 mm (23,8 kg/m)</t>
  </si>
  <si>
    <t>Teräsputki, suojaputki, vesihuolto 273,0 x 5,0 mm (33 kg/m)</t>
  </si>
  <si>
    <t>Teräsputki, suojaputki, vesihuolto 219,1 x 6,3 mm (33,1 kg/m)</t>
  </si>
  <si>
    <t>Teräsputki, suojaputki, vesihuolto 323,9 x 5,6 mm (44 kg/m)</t>
  </si>
  <si>
    <t>Teräsputki, suojaputki, vesihuolto 273,0 x 6,3 mm (41,4 kg/m)</t>
  </si>
  <si>
    <t>Teräsputki, suojaputki, vesihuolto 355,6 x 5,6 mm (48,3 kg/m)</t>
  </si>
  <si>
    <t>Teräsputki, suojaputki, vesihuolto 323,9 x 6,3 mm (49,3 kg/m)</t>
  </si>
  <si>
    <t>Teräsputki, suojaputki, vesihuolto 355,6 x 6,3 mm (54,3 kg/m)</t>
  </si>
  <si>
    <t>Teräsputki, suojaputki, vesihuolto 406,4 x 6,3 mm (62,2 kg/m)</t>
  </si>
  <si>
    <t>Teräsputki, suojaputki, vesihuolto 457,0 x 6,3 mm (70 kg/m)</t>
  </si>
  <si>
    <t>Teräsputki, suojaputki, vesihuolto 508,0 x 6,3 mm (77,9 kg/m)</t>
  </si>
  <si>
    <t>Teräsputki, suojaputki, vesihuolto 610,0 x 8,0 mm (119 kg/m)</t>
  </si>
  <si>
    <t>Teräsputki, suojaputki, vesihuolto 711,0 x 8,8 mm (152 kg/m)</t>
  </si>
  <si>
    <t>Teräsputki, suojaputki, vesihuolto 813,0 x 8,8 mm (175 kg/m)</t>
  </si>
  <si>
    <t>Teräsputki, suojaputki, vesihuolto 914,0 x 10,0 mm (223 kg/m)</t>
  </si>
  <si>
    <t>Teräsputki, suojaputki, vesihuolto 1016,0 x 11 mm (273 kg/m)</t>
  </si>
  <si>
    <t>Teräsputki, suojaputki, vesihuolto 1220,0 x 12,5 mm (372 kg/m)</t>
  </si>
  <si>
    <t>Vesijohtoputki, valurauta, muhvillinen, 100 mm, SG/k-PN10, sis. pinnoitteet</t>
  </si>
  <si>
    <t>Vesijohtoputki, valurauta, muhvillinen, 1000 mm, SG/k-PN10, sis. pinnoitteet</t>
  </si>
  <si>
    <t>Vesijohtoputki, valurauta, muhvillinen, 125 mm, SG/k-PN10, sis. pinnoitteet</t>
  </si>
  <si>
    <t>Vesijohtoputki, valurauta, muhvillinen, 150 mm, SG/k-PN10, sis. pinnoitteet</t>
  </si>
  <si>
    <t>Vesijohtoputki, valurauta, muhvillinen, 200 mm, SG/k-PN10, sis. pinnoitteet</t>
  </si>
  <si>
    <t>Vesijohtoputki, valurauta, muhvillinen, 250 mm, SG/k-PN10, sis. pinnoitteet</t>
  </si>
  <si>
    <t>Vesijohtoputki, valurauta, muhvillinen, 300 mm, SG/k-PN10, sis. pinnoitteet</t>
  </si>
  <si>
    <t>Vesijohtoputki, valurauta, muhvillinen, 400 mm, SG/k-PN10, sis. pinnoitteet</t>
  </si>
  <si>
    <t>Vesijohtoputki, valurauta, muhvillinen, 500 mm, SG/k-PN10, sis. pinnoitteet</t>
  </si>
  <si>
    <t>Vesijohtoputki, valurauta, muhvillinen, 600 mm, SG/k-PN10, sis. pinnoitteet</t>
  </si>
  <si>
    <t>Vesijohtoputki, valurauta, muhvillinen, 700 mm, SG/k-PN10, sis. pinnoitteet</t>
  </si>
  <si>
    <t>Vesijohtoputki, valurauta, muhvillinen, 80 mm, SG/k-PN10, sis. pinnoitteet</t>
  </si>
  <si>
    <t>Vesijohtoputki, valurauta, muhvillinen, 800 mm, SG/k-PN10, sis. pinnoitteet</t>
  </si>
  <si>
    <t>Vesijohtoputki, valurauta, muhvillinen, 900 mm, SG/k-PN10, sis. pinnoitteet</t>
  </si>
  <si>
    <t>Viemäriputki, 100 mm, SMU Plus, valurauta, muhviton, sis. pinnoitteet</t>
  </si>
  <si>
    <t>Viemäriputki, 150 mm, SMU Plus, valurauta, muhviton, sis. pinnoitteet</t>
  </si>
  <si>
    <t>Viemäriputki, 200 mm, SMU Plus, valurauta, muhviton, sis. pinnoitteet</t>
  </si>
  <si>
    <t>Viemäriputki, 250 mm, SMU Plus, valurauta, muhviton, sis. pinnoitteet</t>
  </si>
  <si>
    <t>Viemäriputki, 300 mm, SMU Plus, valurauta, muhviton, sis. pinnoitteet</t>
  </si>
  <si>
    <t>Viemäriputki, 50 mm, SMU Plus, valurauta, muhviton, sis. pinnoitteet</t>
  </si>
  <si>
    <t>Viemäriputki, 70 mm, SMU Plus, valurauta, muhviton, sis. pinnoitteet</t>
  </si>
  <si>
    <t>Muovi- ja teräsputket</t>
  </si>
  <si>
    <r>
      <t>Hotellimajoitus kg CO</t>
    </r>
    <r>
      <rPr>
        <b/>
        <vertAlign val="subscript"/>
        <sz val="11"/>
        <color theme="1"/>
        <rFont val="Calibri"/>
        <family val="2"/>
        <scheme val="minor"/>
      </rPr>
      <t>2</t>
    </r>
    <r>
      <rPr>
        <b/>
        <sz val="11"/>
        <color theme="1"/>
        <rFont val="Calibri"/>
        <family val="2"/>
        <scheme val="minor"/>
      </rPr>
      <t>e/yö</t>
    </r>
  </si>
  <si>
    <r>
      <t>Hostellimajoitus kg CO</t>
    </r>
    <r>
      <rPr>
        <b/>
        <vertAlign val="subscript"/>
        <sz val="11"/>
        <color theme="1"/>
        <rFont val="Calibri"/>
        <family val="2"/>
        <scheme val="minor"/>
      </rPr>
      <t>2</t>
    </r>
    <r>
      <rPr>
        <b/>
        <sz val="11"/>
        <color theme="1"/>
        <rFont val="Calibri"/>
        <family val="2"/>
        <scheme val="minor"/>
      </rPr>
      <t>e/yö</t>
    </r>
  </si>
  <si>
    <t>Suomi</t>
  </si>
  <si>
    <t>Ruotsi</t>
  </si>
  <si>
    <t>Norja</t>
  </si>
  <si>
    <t>Tanska</t>
  </si>
  <si>
    <t>Islanti</t>
  </si>
  <si>
    <t>Ranska</t>
  </si>
  <si>
    <t>Espanja</t>
  </si>
  <si>
    <t>Iso-Britannia</t>
  </si>
  <si>
    <t>Saksa</t>
  </si>
  <si>
    <t>Itävalta</t>
  </si>
  <si>
    <t>Belgia</t>
  </si>
  <si>
    <t>Tshekki</t>
  </si>
  <si>
    <t>Kreikka</t>
  </si>
  <si>
    <t>Unkari</t>
  </si>
  <si>
    <t>Irlanti</t>
  </si>
  <si>
    <t>Italia</t>
  </si>
  <si>
    <t>Alankomaat</t>
  </si>
  <si>
    <t>Puola</t>
  </si>
  <si>
    <t>Portugali</t>
  </si>
  <si>
    <t>Romania</t>
  </si>
  <si>
    <t>Venäjä</t>
  </si>
  <si>
    <t>Sveitsi</t>
  </si>
  <si>
    <t>Muu EU-valtio</t>
  </si>
  <si>
    <t>Argentiina</t>
  </si>
  <si>
    <t>Australia</t>
  </si>
  <si>
    <t>Brasilia</t>
  </si>
  <si>
    <t>Canada</t>
  </si>
  <si>
    <t>Chile</t>
  </si>
  <si>
    <t>Kiina</t>
  </si>
  <si>
    <t>Kolumbia</t>
  </si>
  <si>
    <t>Costa Rica</t>
  </si>
  <si>
    <t>Egypti</t>
  </si>
  <si>
    <t>Filippiinit</t>
  </si>
  <si>
    <t>Fiji</t>
  </si>
  <si>
    <t>Hong Kong</t>
  </si>
  <si>
    <t>Intia</t>
  </si>
  <si>
    <t>Indonesia</t>
  </si>
  <si>
    <t>Israel</t>
  </si>
  <si>
    <t>Japani</t>
  </si>
  <si>
    <t>Jordania</t>
  </si>
  <si>
    <t>Kazakstan</t>
  </si>
  <si>
    <t>Etelä-Korea</t>
  </si>
  <si>
    <t>Etelä-Afrikka</t>
  </si>
  <si>
    <t>Macau</t>
  </si>
  <si>
    <t>Malesia</t>
  </si>
  <si>
    <t>Malediivit</t>
  </si>
  <si>
    <t>Meksiko</t>
  </si>
  <si>
    <t>Marokko</t>
  </si>
  <si>
    <t>Uusi-Seelanti</t>
  </si>
  <si>
    <t>Oman</t>
  </si>
  <si>
    <t>Panama</t>
  </si>
  <si>
    <t>Peru</t>
  </si>
  <si>
    <t>Puerto Rico</t>
  </si>
  <si>
    <t>Qatar</t>
  </si>
  <si>
    <t>Saudi-Arabia</t>
  </si>
  <si>
    <t>Singapore</t>
  </si>
  <si>
    <t>Turkki</t>
  </si>
  <si>
    <t>Thaimaa</t>
  </si>
  <si>
    <t>USA</t>
  </si>
  <si>
    <t>Yhdistyneet arabiemiirikunnat</t>
  </si>
  <si>
    <t>Vietnam</t>
  </si>
  <si>
    <t>Muu maailma</t>
  </si>
  <si>
    <t>Eurooppa</t>
  </si>
  <si>
    <t>Kaupungit</t>
  </si>
  <si>
    <t>Paris</t>
  </si>
  <si>
    <t>Barcelona</t>
  </si>
  <si>
    <t>Madrid</t>
  </si>
  <si>
    <t>Birmingham</t>
  </si>
  <si>
    <t>Bristol</t>
  </si>
  <si>
    <t>Edinburgh</t>
  </si>
  <si>
    <t>Glasgow</t>
  </si>
  <si>
    <t>Manchester</t>
  </si>
  <si>
    <t>Leeds–Bradford</t>
  </si>
  <si>
    <t>Liverpool</t>
  </si>
  <si>
    <t>London</t>
  </si>
  <si>
    <t>Nottingham–Derby</t>
  </si>
  <si>
    <t>Sheffield</t>
  </si>
  <si>
    <t>Berlin</t>
  </si>
  <si>
    <t>Frankfurt</t>
  </si>
  <si>
    <t>Munich</t>
  </si>
  <si>
    <t>Vienna</t>
  </si>
  <si>
    <t>Istanbul</t>
  </si>
  <si>
    <t>Bangkok</t>
  </si>
  <si>
    <t>Pattaya</t>
  </si>
  <si>
    <t>Phuket</t>
  </si>
  <si>
    <t>New York</t>
  </si>
  <si>
    <t>Chicago</t>
  </si>
  <si>
    <t>Boston</t>
  </si>
  <si>
    <t>Austin</t>
  </si>
  <si>
    <t>Miami</t>
  </si>
  <si>
    <t>San Diego</t>
  </si>
  <si>
    <t>Winnipeg</t>
  </si>
  <si>
    <t>Wuhan</t>
  </si>
  <si>
    <t>Amsterdam</t>
  </si>
  <si>
    <t>Muscat</t>
  </si>
  <si>
    <t>Manila</t>
  </si>
  <si>
    <t>Warsaw</t>
  </si>
  <si>
    <t>Doha</t>
  </si>
  <si>
    <t>Moscow</t>
  </si>
  <si>
    <t>Riyadh</t>
  </si>
  <si>
    <t>Abu Dhabi</t>
  </si>
  <si>
    <t>Dubai</t>
  </si>
  <si>
    <t>Hanoi</t>
  </si>
  <si>
    <t>Hotelli- tai hostelliyö, Eurooppa</t>
  </si>
  <si>
    <t>Hotelliyöt kpl</t>
  </si>
  <si>
    <t>Hostelliyöt kpl</t>
  </si>
  <si>
    <r>
      <t>Päästökerroin Hotelli CO</t>
    </r>
    <r>
      <rPr>
        <b/>
        <vertAlign val="subscript"/>
        <sz val="11"/>
        <color theme="1"/>
        <rFont val="Calibri"/>
        <family val="2"/>
        <scheme val="minor"/>
      </rPr>
      <t>2</t>
    </r>
    <r>
      <rPr>
        <b/>
        <sz val="11"/>
        <color theme="1"/>
        <rFont val="Calibri"/>
        <family val="2"/>
        <scheme val="minor"/>
      </rPr>
      <t>e kg/kg</t>
    </r>
  </si>
  <si>
    <r>
      <t>Päästökerroin Hostelli CO</t>
    </r>
    <r>
      <rPr>
        <b/>
        <vertAlign val="subscript"/>
        <sz val="11"/>
        <color theme="1"/>
        <rFont val="Calibri"/>
        <family val="2"/>
        <scheme val="minor"/>
      </rPr>
      <t>2</t>
    </r>
    <r>
      <rPr>
        <b/>
        <sz val="11"/>
        <color theme="1"/>
        <rFont val="Calibri"/>
        <family val="2"/>
        <scheme val="minor"/>
      </rPr>
      <t>e kg/kg</t>
    </r>
  </si>
  <si>
    <t>Matkakohde</t>
  </si>
  <si>
    <t>Hotelli- tai hostelliyö, Muu maailma</t>
  </si>
  <si>
    <t>Hotelli- tai hostelliyö, Kaupungit</t>
  </si>
  <si>
    <t>Epäsuorat päästöt lasketaan automaattisesti Scope 2 valintojen pohjalta.</t>
  </si>
  <si>
    <t>Valitse alasvetovalikosta kuljetusväline tai tyyppi. Merkitse kuljetetut kilometrit sekä kuljetuksen paino tonneina.</t>
  </si>
  <si>
    <t>Valitse alasvetovalikosta matkustusvälineen/matkan tyyppi ja merkitse kuljetut kilometrit sekä matkustajien määrä. Kategorian vapaaehtoisena tietona voi merkitä hotelli- tai hostelliyöstä aiheutuvia päästöjä maa- tai kaupunkikohtaisesti.</t>
  </si>
  <si>
    <t>Valitse alasvetovalikosta matkustusvälineen/matkan tyyppi ja merkitse kuljetut kilometrit sekä matkustajien määrä.</t>
  </si>
  <si>
    <t>Valitse alasvetovalikosta laskettava vuosi ja merkitse tietoja  sen mukaan, kuinka paljon vuokrattu laite/asunto on käyttänyt vuoden aikana energiaa (polttoaine, sähkö ja lämmitys).</t>
  </si>
  <si>
    <t>Valitse alasvetovalikosta laskettava vuosi ja merkitse myytyjen tuotteiden käytöstä aiheutuneet scope 1 ja scope 2 päästöt (polttoaine, sähkö ja lämmitys). Käytönaikaisten päästöjen voidaan arvioida olevan joko suoria tai epäsuoria riippuen mitä tuotteita yritys myy. Suorat käytönaikaiset päästöt ovat esimerkiksi polttoaineen käyttö ajoneuvoissa tai sähkön käyttö elektroniikkatuotteissa. Epäsuoria ovat esimerkiksi vaatteiden osalta pesukerrat tai ruokatuotteilla valmistus ja lämmitys.</t>
  </si>
  <si>
    <t>Valitse alasvetovalikosta laskettava vuosi sekä merkitse sarakkeeseen hankittu kaukolämmön/kaukokylmän määrä kilowattitunteina. Vaihtoehtoisesti päästökertoimen voi etsiä paikkakunnan sekä kaukolämpöyhtiön mukaan. Paikkakuntien osalta jokaiselle vuodelle ei ole olemassa päästökerrointa, jolloin käytä uusinta mahdollista.</t>
  </si>
  <si>
    <t>Valitse alasvetovalikosta lämmöntuotannossa käytetty polttoaine sekä merkitse sarakkeeseen polttoaineen kulutus joko litroina tai kiloina.</t>
  </si>
  <si>
    <t>Jäännösjakauma 2020</t>
  </si>
  <si>
    <t>Jäännösjakauma 2021</t>
  </si>
  <si>
    <t>Jäännösjakauma 2022</t>
  </si>
  <si>
    <t>Käyttöohje</t>
  </si>
  <si>
    <t>①</t>
  </si>
  <si>
    <t>GHG-päästölaskurissa voit laskea yrityksen toiminnasta aiheutuvat kasvihuonekaasupäästöt. Päästöt on jaettu protokollan mukaisesti kolmeen eri luokitukseen (scope), ja laskurissa scopet on eroteltu värikoodeilla (Scope 1=musta, Scope 2 = keltainen, Scope 3 = sininen).</t>
  </si>
  <si>
    <t>②</t>
  </si>
  <si>
    <t>③</t>
  </si>
  <si>
    <t>Scope 1 -päästöt koostuvat yrityksen suorista päästöistä, eli lähteistä, jotka ovat yrityksen omistamia tai määräysvallassa. Laskurissa scope 1 -kategorioista voidaan laskea sähkön,lämmön tai höyryn tuotannossa aiheutuvia päästöjä (tuotettu energia), omistettujen ajoneuvojen käytöstä syntyneitä päästöjä (polttoaineet) sekä hajapäästöjä, joita syntyy esimerkiksi kylmäaineiden käytöstä.</t>
  </si>
  <si>
    <t>Scope 2 -päästöt koostuvat yrityksen hankkimasta energiasta (sähkö, kaukolämpö ja -kylmä sekä höyry). Sähkön osalta protokollan mukaan on valittava "Aluekohtainen" tai "Markkinalähtöinen" laskentatapa. Aluekohtainen on Suomen sähköntuotannon keskimäärinen päästökerroin. Markkinalähtöinen arvo lasketaan oman sähkösopimuksen tuotantotapojen mukaisesti. Molemmat tavat tulee laskea mutta lopullisen raportin kokonaispäästöihin vaikuttava laskentapa valitaan lopuksi "Kokonaispäästöt" -sivulla.</t>
  </si>
  <si>
    <t>④</t>
  </si>
  <si>
    <t xml:space="preserve">Scope 3 -päästöjä on laskettavissa yhteensä 15 eri kategoriassa. Kategoriat ovat vapaaehtoisia, joten niitä ei protokollan mukaan ole pakko laskea. Kategorioista voi myös valita laskettavaksi haluamansa esimerkiksi sen mukaan, mitä tietoja on käytettävissä. Jokaisesta kategoriasta ei ole täydellisiä päästötietoja (esim käyttöomaisuus), jolloin on käytettävä pääasiassa omia päästökertoimia. </t>
  </si>
  <si>
    <t>⑤</t>
  </si>
  <si>
    <t>⑥</t>
  </si>
  <si>
    <t>Laskurin tekijä: Joona Kainulainen, Insinööri AMK, Projektikoordinaattori</t>
  </si>
  <si>
    <t>Työn tilaaja: Rakentamisen vihreä siirtymä -hanke</t>
  </si>
  <si>
    <t>Lopullinen laskennan tulos on näkyvissä "Kokonaispäästöt"-välilehdellä. Sivulle päivittyy automaattisesti taulukot päästöjen jakautumisesta eri scopejen sekä kategorioiden suhteen. Laskutietojen syötön jälkeen tulee viimeistään valita käytetäänkö aluekohtaista vai markkinalähtöistä sähkön laskentatapaa.</t>
  </si>
  <si>
    <r>
      <t>Päästökerroin CO</t>
    </r>
    <r>
      <rPr>
        <b/>
        <vertAlign val="subscript"/>
        <sz val="11"/>
        <color theme="1"/>
        <rFont val="Calibri"/>
        <family val="2"/>
        <scheme val="minor"/>
      </rPr>
      <t>2</t>
    </r>
    <r>
      <rPr>
        <b/>
        <sz val="11"/>
        <color theme="1"/>
        <rFont val="Calibri"/>
        <family val="2"/>
        <scheme val="minor"/>
      </rPr>
      <t>e kg/hkm</t>
    </r>
  </si>
  <si>
    <t>Jokaisessa laskentavälilehdessä on omat ohjeet, mitä tietoja laskennassa tarvitaan. Päästökertoimen haku ja laskutoimitus tapahtuu automaattisesti ja tulokset päivittyvät "Kokonaispäästöt"-sivulle. Tarvittaessa jokaisella laskentavälilehdellä on mahdollisuus laskea päästöjä omien päästökertoimien pohjalta. Omia päästötietoja voi täyttää keltaisella pohjalla merkittyihin soluihin.</t>
  </si>
  <si>
    <t>Käyttöomaisuus</t>
  </si>
  <si>
    <t>Hankittu määrä kpl</t>
  </si>
  <si>
    <t>Käyttöomaisuus kategoriassa voit käyttää pääasiassa omia päästökertoimia. Hankittujen ajoneuvojen osalta valitse alasvetovalikosta hankitun ajoneuvon tyyppi sekä merkitse sarakkeeseen ajoneuvojen määrä</t>
  </si>
  <si>
    <t>Scope 3: Tuotteet ja palvelut (ruoka &amp; juoma)</t>
  </si>
  <si>
    <t>Viimeisin päivitys: 22.11.2023</t>
  </si>
  <si>
    <t>Kategoria 12: Myytyjen tuotteiden loppukäsittely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</si>
</sst>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20" x14ac:knownFonts="1">
    <font>
      <sz val="11"/>
      <color theme="1"/>
      <name val="Calibri"/>
      <family val="2"/>
      <scheme val="minor"/>
    </font>
    <font>
      <b/>
      <sz val="11"/>
      <color theme="1"/>
      <name val="Calibri"/>
      <family val="2"/>
      <scheme val="minor"/>
    </font>
    <font>
      <b/>
      <vertAlign val="subscript"/>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4"/>
      <color theme="1"/>
      <name val="Calibri"/>
      <family val="2"/>
      <scheme val="minor"/>
    </font>
    <font>
      <sz val="8"/>
      <color rgb="FF000000"/>
      <name val="Segoe UI"/>
      <family val="2"/>
    </font>
    <font>
      <b/>
      <vertAlign val="superscript"/>
      <sz val="11"/>
      <color theme="1"/>
      <name val="Calibri"/>
      <family val="2"/>
      <scheme val="minor"/>
    </font>
    <font>
      <b/>
      <sz val="12"/>
      <color rgb="FF002060"/>
      <name val="Calibri"/>
      <family val="2"/>
      <scheme val="minor"/>
    </font>
    <font>
      <b/>
      <sz val="11"/>
      <color rgb="FFFF0000"/>
      <name val="Calibri"/>
      <family val="2"/>
      <scheme val="minor"/>
    </font>
    <font>
      <b/>
      <sz val="12"/>
      <color rgb="FFFF0000"/>
      <name val="Calibri"/>
      <family val="2"/>
      <scheme val="minor"/>
    </font>
    <font>
      <b/>
      <sz val="14"/>
      <color rgb="FF000000"/>
      <name val="Calibri"/>
      <family val="2"/>
      <scheme val="minor"/>
    </font>
    <font>
      <b/>
      <vertAlign val="subscript"/>
      <sz val="12"/>
      <color theme="1"/>
      <name val="Calibri"/>
      <family val="2"/>
      <scheme val="minor"/>
    </font>
    <font>
      <vertAlign val="subscript"/>
      <sz val="11"/>
      <color theme="1"/>
      <name val="Calibri"/>
      <family val="2"/>
      <scheme val="minor"/>
    </font>
    <font>
      <sz val="11"/>
      <color theme="7" tint="0.79998168889431442"/>
      <name val="Calibri"/>
      <family val="2"/>
      <scheme val="minor"/>
    </font>
    <font>
      <b/>
      <sz val="12"/>
      <color theme="7" tint="0.79998168889431442"/>
      <name val="Calibri"/>
      <family val="2"/>
      <scheme val="minor"/>
    </font>
    <font>
      <sz val="8"/>
      <name val="Calibri"/>
      <family val="2"/>
      <scheme val="minor"/>
    </font>
    <font>
      <sz val="11"/>
      <color theme="1"/>
      <name val="Calibri"/>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D0CECE"/>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tint="0.39997558519241921"/>
        <bgColor indexed="64"/>
      </patternFill>
    </fill>
  </fills>
  <borders count="48">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n">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48">
    <xf numFmtId="0" fontId="0" fillId="0" borderId="0" xfId="0"/>
    <xf numFmtId="0" fontId="0" fillId="2" borderId="0" xfId="0" applyFill="1"/>
    <xf numFmtId="0" fontId="0" fillId="2" borderId="0" xfId="0" applyFill="1" applyAlignment="1">
      <alignment horizontal="center"/>
    </xf>
    <xf numFmtId="0" fontId="3"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0" fillId="2" borderId="0"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0" xfId="0" applyFill="1" applyBorder="1"/>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1" fontId="0" fillId="2" borderId="13" xfId="0" applyNumberFormat="1"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1" fontId="0" fillId="2" borderId="16" xfId="0" applyNumberFormat="1"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7" xfId="0" applyFill="1" applyBorder="1" applyAlignment="1">
      <alignment horizontal="center"/>
    </xf>
    <xf numFmtId="0" fontId="0" fillId="0" borderId="14" xfId="0" applyBorder="1" applyAlignment="1">
      <alignment horizontal="center"/>
    </xf>
    <xf numFmtId="1" fontId="0" fillId="2" borderId="19" xfId="0" applyNumberFormat="1" applyFill="1" applyBorder="1" applyAlignment="1">
      <alignment horizontal="center"/>
    </xf>
    <xf numFmtId="1" fontId="0" fillId="2" borderId="20" xfId="0" applyNumberForma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0" fillId="2" borderId="21" xfId="0" applyFill="1" applyBorder="1" applyAlignment="1">
      <alignment horizontal="center"/>
    </xf>
    <xf numFmtId="0" fontId="1" fillId="2" borderId="25" xfId="0" applyFont="1" applyFill="1" applyBorder="1" applyAlignment="1">
      <alignment horizontal="center"/>
    </xf>
    <xf numFmtId="0" fontId="1" fillId="2" borderId="22" xfId="0" applyFont="1" applyFill="1" applyBorder="1" applyAlignment="1">
      <alignment horizontal="center"/>
    </xf>
    <xf numFmtId="0" fontId="0" fillId="2" borderId="26" xfId="0" applyFill="1" applyBorder="1" applyAlignment="1">
      <alignment horizontal="center"/>
    </xf>
    <xf numFmtId="2" fontId="0" fillId="5" borderId="0" xfId="0" applyNumberFormat="1" applyFill="1" applyAlignment="1">
      <alignment horizontal="center"/>
    </xf>
    <xf numFmtId="0" fontId="0" fillId="0" borderId="27" xfId="0" applyBorder="1" applyAlignment="1">
      <alignment horizontal="center"/>
    </xf>
    <xf numFmtId="0" fontId="0" fillId="0" borderId="18" xfId="0"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2" fontId="0" fillId="2" borderId="0" xfId="0" applyNumberFormat="1" applyFill="1"/>
    <xf numFmtId="1" fontId="0" fillId="2" borderId="0" xfId="0" applyNumberFormat="1" applyFill="1" applyBorder="1" applyAlignment="1">
      <alignment horizontal="center"/>
    </xf>
    <xf numFmtId="0" fontId="0" fillId="2" borderId="30" xfId="0" applyFill="1" applyBorder="1" applyAlignment="1">
      <alignment horizontal="center"/>
    </xf>
    <xf numFmtId="0" fontId="0" fillId="2" borderId="24" xfId="0" applyFill="1" applyBorder="1" applyAlignment="1">
      <alignment horizontal="center"/>
    </xf>
    <xf numFmtId="0" fontId="0" fillId="2" borderId="31" xfId="0" applyFill="1" applyBorder="1" applyAlignment="1">
      <alignment horizontal="center"/>
    </xf>
    <xf numFmtId="164" fontId="0" fillId="2" borderId="0" xfId="0" applyNumberFormat="1"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0" fillId="2" borderId="3" xfId="0" applyFill="1" applyBorder="1"/>
    <xf numFmtId="0" fontId="9" fillId="2" borderId="0" xfId="0" applyFont="1" applyFill="1" applyAlignment="1">
      <alignment horizontal="center" wrapText="1"/>
    </xf>
    <xf numFmtId="0" fontId="9" fillId="2" borderId="0" xfId="0" applyFont="1" applyFill="1" applyAlignment="1">
      <alignment wrapText="1"/>
    </xf>
    <xf numFmtId="0" fontId="10" fillId="2" borderId="0" xfId="0" applyFont="1" applyFill="1" applyAlignment="1">
      <alignment wrapText="1"/>
    </xf>
    <xf numFmtId="0" fontId="9" fillId="2" borderId="0" xfId="0" applyFont="1" applyFill="1" applyBorder="1" applyAlignment="1"/>
    <xf numFmtId="0" fontId="11" fillId="2" borderId="0" xfId="0" applyFont="1" applyFill="1" applyAlignment="1">
      <alignment wrapText="1"/>
    </xf>
    <xf numFmtId="0" fontId="6" fillId="6" borderId="0" xfId="0" applyFont="1" applyFill="1" applyAlignment="1">
      <alignment horizontal="center"/>
    </xf>
    <xf numFmtId="0" fontId="12" fillId="4" borderId="2" xfId="0" applyFont="1" applyFill="1" applyBorder="1" applyAlignment="1">
      <alignment horizontal="center" vertical="center"/>
    </xf>
    <xf numFmtId="0" fontId="6" fillId="2" borderId="0" xfId="0" applyFont="1" applyFill="1" applyAlignment="1">
      <alignment horizontal="center"/>
    </xf>
    <xf numFmtId="0" fontId="11" fillId="2" borderId="0" xfId="0" applyFont="1" applyFill="1" applyAlignment="1">
      <alignment vertical="center" wrapText="1"/>
    </xf>
    <xf numFmtId="0" fontId="11" fillId="2" borderId="0" xfId="0" applyFont="1" applyFill="1" applyBorder="1" applyAlignment="1">
      <alignment wrapText="1"/>
    </xf>
    <xf numFmtId="0" fontId="6" fillId="7" borderId="0" xfId="0" applyFont="1" applyFill="1" applyAlignment="1">
      <alignment horizontal="center"/>
    </xf>
    <xf numFmtId="0" fontId="0" fillId="2" borderId="36" xfId="0" applyFill="1" applyBorder="1" applyAlignment="1">
      <alignment horizontal="center"/>
    </xf>
    <xf numFmtId="0" fontId="0" fillId="2" borderId="37" xfId="0" applyFill="1" applyBorder="1" applyAlignment="1">
      <alignment horizontal="center"/>
    </xf>
    <xf numFmtId="0" fontId="0" fillId="0" borderId="12" xfId="0" applyBorder="1" applyAlignment="1">
      <alignment horizontal="center"/>
    </xf>
    <xf numFmtId="164" fontId="0" fillId="2" borderId="5" xfId="0" applyNumberFormat="1" applyFill="1" applyBorder="1" applyAlignment="1">
      <alignment horizontal="center"/>
    </xf>
    <xf numFmtId="164" fontId="0" fillId="2" borderId="11" xfId="0" applyNumberFormat="1" applyFill="1" applyBorder="1" applyAlignment="1">
      <alignment horizontal="center"/>
    </xf>
    <xf numFmtId="0" fontId="1" fillId="2" borderId="35" xfId="0" applyFont="1" applyFill="1" applyBorder="1" applyAlignment="1">
      <alignment horizontal="center"/>
    </xf>
    <xf numFmtId="2" fontId="5" fillId="8" borderId="0" xfId="0" applyNumberFormat="1" applyFont="1" applyFill="1" applyAlignment="1">
      <alignment horizontal="center"/>
    </xf>
    <xf numFmtId="0" fontId="5" fillId="8" borderId="0" xfId="0" applyFont="1" applyFill="1" applyAlignment="1">
      <alignment horizontal="center"/>
    </xf>
    <xf numFmtId="0" fontId="6" fillId="2" borderId="0" xfId="0" applyFont="1" applyFill="1" applyAlignment="1">
      <alignment horizontal="center"/>
    </xf>
    <xf numFmtId="0" fontId="6" fillId="2" borderId="0" xfId="0" applyFont="1" applyFill="1" applyAlignment="1">
      <alignment horizontal="center"/>
    </xf>
    <xf numFmtId="2" fontId="0" fillId="5" borderId="0" xfId="0" applyNumberFormat="1" applyFill="1" applyBorder="1" applyAlignment="1">
      <alignment horizontal="center"/>
    </xf>
    <xf numFmtId="0" fontId="9" fillId="2" borderId="0" xfId="0" applyFont="1" applyFill="1" applyAlignment="1">
      <alignment horizontal="center" vertical="center" wrapText="1"/>
    </xf>
    <xf numFmtId="0" fontId="6" fillId="2" borderId="0" xfId="0" applyFont="1" applyFill="1" applyAlignment="1">
      <alignment horizontal="center"/>
    </xf>
    <xf numFmtId="0" fontId="9" fillId="2" borderId="0" xfId="0" applyFont="1" applyFill="1" applyAlignment="1">
      <alignment horizontal="center" wrapText="1"/>
    </xf>
    <xf numFmtId="0" fontId="5" fillId="2" borderId="0" xfId="0" applyFont="1" applyFill="1" applyAlignment="1">
      <alignment horizontal="center"/>
    </xf>
    <xf numFmtId="0" fontId="11" fillId="2" borderId="3" xfId="0" applyFont="1" applyFill="1" applyBorder="1" applyAlignment="1">
      <alignment wrapText="1"/>
    </xf>
    <xf numFmtId="0" fontId="9" fillId="2" borderId="3" xfId="0" applyFont="1" applyFill="1" applyBorder="1" applyAlignment="1">
      <alignment wrapText="1"/>
    </xf>
    <xf numFmtId="0" fontId="9" fillId="2" borderId="0" xfId="0" applyFont="1" applyFill="1" applyBorder="1" applyAlignment="1">
      <alignment wrapText="1"/>
    </xf>
    <xf numFmtId="0" fontId="6" fillId="2" borderId="0" xfId="0" applyFont="1" applyFill="1" applyAlignment="1"/>
    <xf numFmtId="2" fontId="15" fillId="5" borderId="0" xfId="0" applyNumberFormat="1" applyFont="1" applyFill="1" applyAlignment="1">
      <alignment horizontal="center"/>
    </xf>
    <xf numFmtId="0" fontId="16" fillId="5" borderId="0" xfId="0" applyFont="1" applyFill="1" applyAlignment="1">
      <alignment horizontal="center"/>
    </xf>
    <xf numFmtId="0" fontId="9" fillId="2" borderId="0" xfId="0" applyFont="1" applyFill="1" applyAlignment="1">
      <alignment horizontal="center" vertical="center" wrapText="1"/>
    </xf>
    <xf numFmtId="0" fontId="6" fillId="2" borderId="0" xfId="0" applyFont="1" applyFill="1" applyAlignment="1">
      <alignment horizontal="center"/>
    </xf>
    <xf numFmtId="0" fontId="1" fillId="2" borderId="0" xfId="0" applyFont="1" applyFill="1" applyAlignment="1">
      <alignment horizontal="center"/>
    </xf>
    <xf numFmtId="0" fontId="0" fillId="2" borderId="0" xfId="0" applyFont="1" applyFill="1" applyAlignment="1">
      <alignment horizontal="center"/>
    </xf>
    <xf numFmtId="164" fontId="0" fillId="2" borderId="0" xfId="0" applyNumberFormat="1" applyFill="1" applyAlignment="1"/>
    <xf numFmtId="0" fontId="0" fillId="2" borderId="0" xfId="0" applyFill="1" applyAlignment="1">
      <alignment horizontal="center" vertical="center"/>
    </xf>
    <xf numFmtId="164" fontId="0" fillId="2" borderId="0" xfId="0" applyNumberFormat="1" applyFill="1" applyAlignment="1">
      <alignment horizontal="center"/>
    </xf>
    <xf numFmtId="166" fontId="0" fillId="2" borderId="0" xfId="0" applyNumberFormat="1" applyFill="1" applyAlignment="1">
      <alignment horizontal="center"/>
    </xf>
    <xf numFmtId="2" fontId="0" fillId="2" borderId="0" xfId="0" applyNumberFormat="1" applyFill="1" applyAlignment="1">
      <alignment horizontal="center"/>
    </xf>
    <xf numFmtId="0" fontId="1" fillId="2" borderId="4" xfId="0" applyFont="1" applyFill="1" applyBorder="1" applyAlignment="1">
      <alignment horizontal="center"/>
    </xf>
    <xf numFmtId="1" fontId="0" fillId="2" borderId="0" xfId="0" applyNumberFormat="1" applyFill="1" applyAlignment="1">
      <alignment horizontal="center"/>
    </xf>
    <xf numFmtId="165" fontId="0" fillId="2" borderId="0" xfId="0" applyNumberFormat="1" applyFill="1" applyAlignment="1">
      <alignment horizontal="center"/>
    </xf>
    <xf numFmtId="0" fontId="0" fillId="2" borderId="4" xfId="0" applyFill="1" applyBorder="1" applyAlignment="1">
      <alignment horizontal="center" vertical="center"/>
    </xf>
    <xf numFmtId="0" fontId="5" fillId="2" borderId="4" xfId="0" applyFont="1" applyFill="1" applyBorder="1" applyAlignment="1">
      <alignment horizontal="center" vertical="center"/>
    </xf>
    <xf numFmtId="0" fontId="0" fillId="2" borderId="38" xfId="0" applyFill="1" applyBorder="1" applyAlignment="1">
      <alignment horizontal="center"/>
    </xf>
    <xf numFmtId="1" fontId="0" fillId="2" borderId="3" xfId="0" applyNumberFormat="1" applyFill="1" applyBorder="1" applyAlignment="1">
      <alignment horizontal="center"/>
    </xf>
    <xf numFmtId="1" fontId="0" fillId="2" borderId="7" xfId="0" applyNumberFormat="1" applyFill="1" applyBorder="1" applyAlignment="1">
      <alignment horizontal="center"/>
    </xf>
    <xf numFmtId="2" fontId="0" fillId="2" borderId="11" xfId="0" applyNumberFormat="1" applyFill="1" applyBorder="1" applyAlignment="1">
      <alignment horizontal="center"/>
    </xf>
    <xf numFmtId="0" fontId="0" fillId="2" borderId="39" xfId="0" applyFill="1" applyBorder="1" applyAlignment="1">
      <alignment horizontal="center"/>
    </xf>
    <xf numFmtId="0" fontId="0" fillId="2" borderId="41" xfId="0" applyFill="1" applyBorder="1" applyAlignment="1">
      <alignment horizontal="center"/>
    </xf>
    <xf numFmtId="0" fontId="0" fillId="2" borderId="0" xfId="0" applyFont="1" applyFill="1"/>
    <xf numFmtId="0" fontId="0" fillId="2" borderId="42" xfId="0" applyFill="1" applyBorder="1" applyAlignment="1">
      <alignment horizontal="center"/>
    </xf>
    <xf numFmtId="0" fontId="1" fillId="2" borderId="8" xfId="0" applyFont="1" applyFill="1" applyBorder="1" applyAlignment="1">
      <alignment horizontal="center" vertical="center"/>
    </xf>
    <xf numFmtId="2" fontId="0" fillId="2" borderId="5" xfId="0" applyNumberFormat="1" applyFill="1" applyBorder="1" applyAlignment="1">
      <alignment horizontal="center"/>
    </xf>
    <xf numFmtId="2" fontId="0" fillId="2" borderId="6" xfId="0" applyNumberFormat="1" applyFill="1" applyBorder="1" applyAlignment="1">
      <alignment horizontal="center"/>
    </xf>
    <xf numFmtId="1" fontId="0" fillId="2" borderId="5" xfId="0" applyNumberFormat="1" applyFill="1" applyBorder="1" applyAlignment="1">
      <alignment horizontal="center"/>
    </xf>
    <xf numFmtId="0" fontId="1" fillId="2" borderId="0" xfId="0" applyFont="1" applyFill="1" applyBorder="1" applyAlignment="1">
      <alignment horizontal="center"/>
    </xf>
    <xf numFmtId="0" fontId="0" fillId="2" borderId="43" xfId="0" applyFill="1" applyBorder="1" applyAlignment="1">
      <alignment horizontal="center"/>
    </xf>
    <xf numFmtId="0" fontId="0" fillId="2" borderId="44" xfId="0" applyFill="1" applyBorder="1" applyAlignment="1">
      <alignment horizontal="center"/>
    </xf>
    <xf numFmtId="0" fontId="6" fillId="2" borderId="3" xfId="0" applyFont="1" applyFill="1" applyBorder="1" applyAlignment="1">
      <alignment horizontal="center"/>
    </xf>
    <xf numFmtId="0" fontId="0" fillId="2" borderId="41" xfId="0" applyFill="1" applyBorder="1"/>
    <xf numFmtId="0" fontId="0" fillId="2" borderId="0" xfId="0" applyFill="1" applyAlignment="1">
      <alignment wrapText="1"/>
    </xf>
    <xf numFmtId="0" fontId="6" fillId="2" borderId="0" xfId="0" applyFont="1" applyFill="1" applyAlignment="1">
      <alignment horizontal="center" wrapText="1"/>
    </xf>
    <xf numFmtId="0" fontId="9" fillId="2" borderId="0" xfId="0" applyFont="1" applyFill="1" applyAlignment="1">
      <alignment horizontal="center" vertical="center" wrapText="1"/>
    </xf>
    <xf numFmtId="0" fontId="0" fillId="2" borderId="31" xfId="0" applyFill="1" applyBorder="1"/>
    <xf numFmtId="0" fontId="0" fillId="5" borderId="14" xfId="0" applyFill="1" applyBorder="1" applyAlignment="1">
      <alignment horizontal="center"/>
    </xf>
    <xf numFmtId="0" fontId="0" fillId="5" borderId="21" xfId="0" applyFill="1" applyBorder="1" applyAlignment="1">
      <alignment horizontal="center"/>
    </xf>
    <xf numFmtId="0" fontId="0" fillId="5" borderId="15" xfId="0" applyFill="1" applyBorder="1" applyAlignment="1">
      <alignment horizontal="center"/>
    </xf>
    <xf numFmtId="0" fontId="0" fillId="5" borderId="26" xfId="0" applyFill="1" applyBorder="1" applyAlignment="1">
      <alignment horizontal="center"/>
    </xf>
    <xf numFmtId="0" fontId="0" fillId="5" borderId="14" xfId="0" applyFill="1" applyBorder="1"/>
    <xf numFmtId="0" fontId="0" fillId="5" borderId="15" xfId="0" applyFill="1" applyBorder="1"/>
    <xf numFmtId="0" fontId="1" fillId="2" borderId="46" xfId="0" applyFont="1" applyFill="1" applyBorder="1" applyAlignment="1">
      <alignment horizontal="center"/>
    </xf>
    <xf numFmtId="0" fontId="0" fillId="5" borderId="33" xfId="0" applyFill="1" applyBorder="1" applyAlignment="1">
      <alignment horizontal="center"/>
    </xf>
    <xf numFmtId="0" fontId="0" fillId="5" borderId="34" xfId="0" applyFill="1" applyBorder="1" applyAlignment="1">
      <alignment horizontal="center"/>
    </xf>
    <xf numFmtId="0" fontId="1" fillId="2" borderId="45" xfId="0" applyFont="1" applyFill="1" applyBorder="1" applyAlignment="1">
      <alignment horizontal="center"/>
    </xf>
    <xf numFmtId="1" fontId="0" fillId="2" borderId="47" xfId="0" applyNumberFormat="1" applyFill="1" applyBorder="1" applyAlignment="1">
      <alignment horizontal="center"/>
    </xf>
    <xf numFmtId="0" fontId="0" fillId="5" borderId="40" xfId="0" applyFill="1" applyBorder="1" applyAlignment="1">
      <alignment horizontal="center"/>
    </xf>
    <xf numFmtId="0" fontId="0" fillId="2" borderId="0" xfId="0" applyFill="1" applyBorder="1" applyAlignment="1">
      <alignment vertical="center" wrapText="1"/>
    </xf>
    <xf numFmtId="0" fontId="0" fillId="2" borderId="0" xfId="0" applyFill="1" applyBorder="1" applyAlignment="1">
      <alignment horizontal="center" vertical="center"/>
    </xf>
    <xf numFmtId="0" fontId="18"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0" xfId="0" applyFill="1" applyBorder="1" applyAlignment="1">
      <alignment vertical="center"/>
    </xf>
    <xf numFmtId="0" fontId="6" fillId="2" borderId="0" xfId="0" applyFont="1" applyFill="1" applyBorder="1" applyAlignment="1">
      <alignment horizontal="center"/>
    </xf>
    <xf numFmtId="2" fontId="19" fillId="5" borderId="0" xfId="0" applyNumberFormat="1" applyFont="1" applyFill="1" applyAlignment="1">
      <alignment horizontal="center"/>
    </xf>
    <xf numFmtId="0" fontId="6" fillId="2" borderId="0" xfId="0" applyFont="1" applyFill="1" applyBorder="1" applyAlignment="1"/>
    <xf numFmtId="0" fontId="0" fillId="2" borderId="0" xfId="0" applyFill="1" applyBorder="1" applyAlignment="1">
      <alignment horizontal="left" vertical="center" wrapText="1"/>
    </xf>
    <xf numFmtId="0" fontId="11" fillId="2" borderId="0" xfId="0" applyFont="1" applyFill="1" applyBorder="1" applyAlignment="1">
      <alignment horizontal="center" wrapText="1"/>
    </xf>
    <xf numFmtId="0" fontId="18" fillId="2" borderId="0" xfId="0" applyFont="1" applyFill="1" applyBorder="1" applyAlignment="1">
      <alignment horizontal="center" vertical="center"/>
    </xf>
    <xf numFmtId="0" fontId="9" fillId="2" borderId="0" xfId="0" applyFont="1" applyFill="1" applyAlignment="1">
      <alignment horizontal="center" vertical="center" wrapText="1"/>
    </xf>
    <xf numFmtId="0" fontId="11" fillId="2" borderId="0" xfId="0" applyFont="1" applyFill="1" applyAlignment="1">
      <alignment horizontal="center" wrapText="1"/>
    </xf>
    <xf numFmtId="0" fontId="6" fillId="2" borderId="0" xfId="0" applyFont="1" applyFill="1" applyBorder="1" applyAlignment="1">
      <alignment horizontal="center"/>
    </xf>
    <xf numFmtId="0" fontId="6" fillId="2" borderId="4" xfId="0" applyFont="1" applyFill="1" applyBorder="1" applyAlignment="1">
      <alignment horizontal="center"/>
    </xf>
    <xf numFmtId="0" fontId="9" fillId="2" borderId="0" xfId="0" applyFont="1" applyFill="1" applyAlignment="1">
      <alignment horizontal="center" wrapText="1"/>
    </xf>
    <xf numFmtId="0" fontId="6" fillId="2" borderId="0" xfId="0" applyFont="1" applyFill="1" applyAlignment="1">
      <alignment horizontal="center"/>
    </xf>
    <xf numFmtId="0" fontId="5" fillId="2" borderId="0" xfId="0"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Alignment="1">
      <alignment horizontal="center"/>
    </xf>
    <xf numFmtId="0" fontId="9" fillId="2" borderId="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center"/>
    </xf>
    <xf numFmtId="0" fontId="6" fillId="2" borderId="0" xfId="0" applyFont="1" applyFill="1" applyAlignment="1">
      <alignment horizontal="center"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fi-FI"/>
              <a:t>Päästöt CO</a:t>
            </a:r>
            <a:r>
              <a:rPr lang="fi-FI" baseline="-25000"/>
              <a:t>2</a:t>
            </a:r>
            <a:r>
              <a:rPr lang="fi-FI"/>
              <a:t>e/t </a:t>
            </a:r>
          </a:p>
        </c:rich>
      </c:tx>
      <c:overlay val="0"/>
      <c:spPr>
        <a:noFill/>
        <a:ln>
          <a:noFill/>
        </a:ln>
        <a:effectLst/>
      </c:spPr>
      <c:txPr>
        <a:bodyPr rot="0" spcFirstLastPara="1" vertOverflow="ellipsis" vert="horz" wrap="square" anchor="ctr" anchorCtr="1"/>
        <a:lstStyle/>
        <a:p>
          <a:pPr algn="ct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title>
    <c:autoTitleDeleted val="0"/>
    <c:plotArea>
      <c:layout/>
      <c:barChart>
        <c:barDir val="col"/>
        <c:grouping val="clustered"/>
        <c:varyColors val="0"/>
        <c:ser>
          <c:idx val="0"/>
          <c:order val="0"/>
          <c:tx>
            <c:strRef>
              <c:f>Kokonaispäästöt!$C$2</c:f>
              <c:strCache>
                <c:ptCount val="1"/>
                <c:pt idx="0">
                  <c:v>CO2e/t</c:v>
                </c:pt>
              </c:strCache>
            </c:strRef>
          </c:tx>
          <c:spPr>
            <a:solidFill>
              <a:schemeClr val="accent1"/>
            </a:solidFill>
            <a:ln>
              <a:noFill/>
            </a:ln>
            <a:effectLst/>
          </c:spPr>
          <c:invertIfNegative val="0"/>
          <c:dPt>
            <c:idx val="0"/>
            <c:invertIfNegative val="0"/>
            <c:bubble3D val="0"/>
            <c:spPr>
              <a:solidFill>
                <a:schemeClr val="tx1"/>
              </a:solidFill>
              <a:ln>
                <a:noFill/>
              </a:ln>
              <a:effectLst/>
            </c:spPr>
            <c:extLst>
              <c:ext xmlns:c16="http://schemas.microsoft.com/office/drawing/2014/chart" uri="{C3380CC4-5D6E-409C-BE32-E72D297353CC}">
                <c16:uniqueId val="{00000002-A808-4FC9-BD7E-A8AB997DF364}"/>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A808-4FC9-BD7E-A8AB997DF364}"/>
              </c:ext>
            </c:extLst>
          </c:dPt>
          <c:dPt>
            <c:idx val="2"/>
            <c:invertIfNegative val="0"/>
            <c:bubble3D val="0"/>
            <c:spPr>
              <a:solidFill>
                <a:srgbClr val="0070C0"/>
              </a:solidFill>
              <a:ln>
                <a:noFill/>
              </a:ln>
              <a:effectLst/>
            </c:spPr>
            <c:extLst>
              <c:ext xmlns:c16="http://schemas.microsoft.com/office/drawing/2014/chart" uri="{C3380CC4-5D6E-409C-BE32-E72D297353CC}">
                <c16:uniqueId val="{00000004-A808-4FC9-BD7E-A8AB997DF364}"/>
              </c:ext>
            </c:extLst>
          </c:dPt>
          <c:cat>
            <c:strRef>
              <c:f>(Kokonaispäästöt!$B$3,Kokonaispäästöt!$B$7,Kokonaispäästöt!$B$13)</c:f>
              <c:strCache>
                <c:ptCount val="3"/>
                <c:pt idx="0">
                  <c:v>Scope 1</c:v>
                </c:pt>
                <c:pt idx="1">
                  <c:v>Scope 2</c:v>
                </c:pt>
                <c:pt idx="2">
                  <c:v>Scope 3</c:v>
                </c:pt>
              </c:strCache>
            </c:strRef>
          </c:cat>
          <c:val>
            <c:numRef>
              <c:f>(Kokonaispäästöt!$C$3,Kokonaispäästöt!$C$7,Kokonaispäästöt!$C$13)</c:f>
              <c:numCache>
                <c:formatCode>0.00</c:formatCode>
                <c:ptCount val="3"/>
                <c:pt idx="0" formatCode="General">
                  <c:v>0</c:v>
                </c:pt>
                <c:pt idx="1">
                  <c:v>0</c:v>
                </c:pt>
                <c:pt idx="2">
                  <c:v>0</c:v>
                </c:pt>
              </c:numCache>
            </c:numRef>
          </c:val>
          <c:extLst>
            <c:ext xmlns:c16="http://schemas.microsoft.com/office/drawing/2014/chart" uri="{C3380CC4-5D6E-409C-BE32-E72D297353CC}">
              <c16:uniqueId val="{00000000-A808-4FC9-BD7E-A8AB997DF364}"/>
            </c:ext>
          </c:extLst>
        </c:ser>
        <c:dLbls>
          <c:showLegendKey val="0"/>
          <c:showVal val="0"/>
          <c:showCatName val="0"/>
          <c:showSerName val="0"/>
          <c:showPercent val="0"/>
          <c:showBubbleSize val="0"/>
        </c:dLbls>
        <c:gapWidth val="219"/>
        <c:overlap val="-27"/>
        <c:axId val="-242454688"/>
        <c:axId val="-242443808"/>
      </c:barChart>
      <c:catAx>
        <c:axId val="-24245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crossAx val="-242443808"/>
        <c:crosses val="autoZero"/>
        <c:auto val="1"/>
        <c:lblAlgn val="ctr"/>
        <c:lblOffset val="100"/>
        <c:noMultiLvlLbl val="0"/>
      </c:catAx>
      <c:valAx>
        <c:axId val="-242443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crossAx val="-242454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0" cap="none" spc="0">
          <a:ln w="0"/>
          <a:solidFill>
            <a:schemeClr val="tx1"/>
          </a:solidFill>
          <a:effectLst>
            <a:outerShdw blurRad="38100" dist="19050" dir="2700000" algn="tl" rotWithShape="0">
              <a:schemeClr val="dk1">
                <a:alpha val="40000"/>
              </a:schemeClr>
            </a:outerShdw>
          </a:effectLst>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fi-FI" b="0" cap="none" spc="0">
                <a:ln w="0"/>
                <a:solidFill>
                  <a:schemeClr val="tx1"/>
                </a:solidFill>
                <a:effectLst>
                  <a:outerShdw blurRad="38100" dist="19050" dir="2700000" algn="tl" rotWithShape="0">
                    <a:schemeClr val="dk1">
                      <a:alpha val="40000"/>
                    </a:schemeClr>
                  </a:outerShdw>
                </a:effectLst>
              </a:rPr>
              <a:t>Scope 1 </a:t>
            </a:r>
            <a:r>
              <a:rPr lang="fi-FI" sz="1400" b="0" i="0" u="none" strike="noStrike" cap="none" spc="0" baseline="0">
                <a:ln w="0"/>
                <a:solidFill>
                  <a:schemeClr val="tx1"/>
                </a:solidFill>
                <a:effectLst>
                  <a:outerShdw blurRad="38100" dist="19050" dir="2700000" algn="tl" rotWithShape="0">
                    <a:schemeClr val="dk1">
                      <a:alpha val="40000"/>
                    </a:schemeClr>
                  </a:outerShdw>
                </a:effectLst>
              </a:rPr>
              <a:t>CO</a:t>
            </a:r>
            <a:r>
              <a:rPr lang="fi-FI" sz="1400" b="0" i="0" u="none" strike="noStrike" cap="none" spc="0" baseline="-25000">
                <a:ln w="0"/>
                <a:solidFill>
                  <a:schemeClr val="tx1"/>
                </a:solidFill>
                <a:effectLst>
                  <a:outerShdw blurRad="38100" dist="19050" dir="2700000" algn="tl" rotWithShape="0">
                    <a:schemeClr val="dk1">
                      <a:alpha val="40000"/>
                    </a:schemeClr>
                  </a:outerShdw>
                </a:effectLst>
              </a:rPr>
              <a:t>2</a:t>
            </a:r>
            <a:r>
              <a:rPr lang="fi-FI" sz="1400" b="0" i="0" u="none" strike="noStrike" cap="none" spc="0" baseline="0">
                <a:ln w="0"/>
                <a:solidFill>
                  <a:schemeClr val="tx1"/>
                </a:solidFill>
                <a:effectLst>
                  <a:outerShdw blurRad="38100" dist="19050" dir="2700000" algn="tl" rotWithShape="0">
                    <a:schemeClr val="dk1">
                      <a:alpha val="40000"/>
                    </a:schemeClr>
                  </a:outerShdw>
                </a:effectLst>
              </a:rPr>
              <a:t>e/t </a:t>
            </a:r>
            <a:endParaRPr lang="fi-FI" b="0" cap="none" spc="0">
              <a:ln w="0"/>
              <a:solidFill>
                <a:schemeClr val="tx1"/>
              </a:solidFill>
              <a:effectLst>
                <a:outerShdw blurRad="38100" dist="19050" dir="2700000" algn="tl" rotWithShape="0">
                  <a:schemeClr val="dk1">
                    <a:alpha val="40000"/>
                  </a:schemeClr>
                </a:outerShdw>
              </a:effectLst>
            </a:endParaRP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title>
    <c:autoTitleDeleted val="0"/>
    <c:plotArea>
      <c:layout/>
      <c:barChart>
        <c:barDir val="col"/>
        <c:grouping val="clustered"/>
        <c:varyColors val="0"/>
        <c:ser>
          <c:idx val="0"/>
          <c:order val="0"/>
          <c:tx>
            <c:strRef>
              <c:f>Kokonaispäästöt!$C$2</c:f>
              <c:strCache>
                <c:ptCount val="1"/>
                <c:pt idx="0">
                  <c:v>CO2e/t</c:v>
                </c:pt>
              </c:strCache>
            </c:strRef>
          </c:tx>
          <c:spPr>
            <a:solidFill>
              <a:schemeClr val="tx1"/>
            </a:solidFill>
            <a:ln>
              <a:solidFill>
                <a:sysClr val="windowText" lastClr="000000"/>
              </a:solidFill>
            </a:ln>
            <a:effectLst/>
          </c:spPr>
          <c:invertIfNegative val="0"/>
          <c:cat>
            <c:strRef>
              <c:f>Kokonaispäästöt!$B$4:$B$6</c:f>
              <c:strCache>
                <c:ptCount val="3"/>
                <c:pt idx="0">
                  <c:v>Scope 1: Tuotettu energia</c:v>
                </c:pt>
                <c:pt idx="1">
                  <c:v>Scope 1: Ajoneuvojen polttoaine</c:v>
                </c:pt>
                <c:pt idx="2">
                  <c:v>Scope 1: Hajapäästöt</c:v>
                </c:pt>
              </c:strCache>
            </c:strRef>
          </c:cat>
          <c:val>
            <c:numRef>
              <c:f>Kokonaispäästöt!$C$4:$C$6</c:f>
              <c:numCache>
                <c:formatCode>0.00</c:formatCode>
                <c:ptCount val="3"/>
                <c:pt idx="0">
                  <c:v>0</c:v>
                </c:pt>
                <c:pt idx="1">
                  <c:v>0</c:v>
                </c:pt>
                <c:pt idx="2">
                  <c:v>0</c:v>
                </c:pt>
              </c:numCache>
            </c:numRef>
          </c:val>
          <c:extLst>
            <c:ext xmlns:c16="http://schemas.microsoft.com/office/drawing/2014/chart" uri="{C3380CC4-5D6E-409C-BE32-E72D297353CC}">
              <c16:uniqueId val="{00000000-5932-400E-85F1-F8DF80320DD8}"/>
            </c:ext>
          </c:extLst>
        </c:ser>
        <c:dLbls>
          <c:showLegendKey val="0"/>
          <c:showVal val="0"/>
          <c:showCatName val="0"/>
          <c:showSerName val="0"/>
          <c:showPercent val="0"/>
          <c:showBubbleSize val="0"/>
        </c:dLbls>
        <c:gapWidth val="219"/>
        <c:overlap val="-27"/>
        <c:axId val="-428656688"/>
        <c:axId val="-136508528"/>
      </c:barChart>
      <c:catAx>
        <c:axId val="-42865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crossAx val="-136508528"/>
        <c:crosses val="autoZero"/>
        <c:auto val="1"/>
        <c:lblAlgn val="ctr"/>
        <c:lblOffset val="100"/>
        <c:noMultiLvlLbl val="0"/>
      </c:catAx>
      <c:valAx>
        <c:axId val="-1365085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crossAx val="-428656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0" cap="none" spc="0">
          <a:ln w="0"/>
          <a:solidFill>
            <a:schemeClr val="tx1"/>
          </a:solidFill>
          <a:effectLst>
            <a:outerShdw blurRad="38100" dist="19050" dir="2700000" algn="tl" rotWithShape="0">
              <a:schemeClr val="dk1">
                <a:alpha val="40000"/>
              </a:schemeClr>
            </a:outerShdw>
          </a:effectLst>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fi-FI" b="0" cap="none" spc="0">
                <a:ln w="0"/>
                <a:solidFill>
                  <a:schemeClr val="tx1"/>
                </a:solidFill>
                <a:effectLst>
                  <a:outerShdw blurRad="38100" dist="19050" dir="2700000" algn="tl" rotWithShape="0">
                    <a:schemeClr val="dk1">
                      <a:alpha val="40000"/>
                    </a:schemeClr>
                  </a:outerShdw>
                </a:effectLst>
              </a:rPr>
              <a:t>Scope 2 </a:t>
            </a:r>
            <a:r>
              <a:rPr lang="fi-FI" sz="1400" b="0" i="0" u="none" strike="noStrike" cap="none" spc="0" baseline="0">
                <a:ln w="0"/>
                <a:solidFill>
                  <a:schemeClr val="tx1"/>
                </a:solidFill>
                <a:effectLst>
                  <a:outerShdw blurRad="38100" dist="19050" dir="2700000" algn="tl" rotWithShape="0">
                    <a:schemeClr val="dk1">
                      <a:alpha val="40000"/>
                    </a:schemeClr>
                  </a:outerShdw>
                </a:effectLst>
              </a:rPr>
              <a:t>CO</a:t>
            </a:r>
            <a:r>
              <a:rPr lang="fi-FI" sz="1400" b="0" i="0" u="none" strike="noStrike" cap="none" spc="0" baseline="-25000">
                <a:ln w="0"/>
                <a:solidFill>
                  <a:schemeClr val="tx1"/>
                </a:solidFill>
                <a:effectLst>
                  <a:outerShdw blurRad="38100" dist="19050" dir="2700000" algn="tl" rotWithShape="0">
                    <a:schemeClr val="dk1">
                      <a:alpha val="40000"/>
                    </a:schemeClr>
                  </a:outerShdw>
                </a:effectLst>
              </a:rPr>
              <a:t>2</a:t>
            </a:r>
            <a:r>
              <a:rPr lang="fi-FI" sz="1400" b="0" i="0" u="none" strike="noStrike" cap="none" spc="0" baseline="0">
                <a:ln w="0"/>
                <a:solidFill>
                  <a:schemeClr val="tx1"/>
                </a:solidFill>
                <a:effectLst>
                  <a:outerShdw blurRad="38100" dist="19050" dir="2700000" algn="tl" rotWithShape="0">
                    <a:schemeClr val="dk1">
                      <a:alpha val="40000"/>
                    </a:schemeClr>
                  </a:outerShdw>
                </a:effectLst>
              </a:rPr>
              <a:t>e/t </a:t>
            </a:r>
            <a:endParaRPr lang="fi-FI" b="0" cap="none" spc="0">
              <a:ln w="0"/>
              <a:solidFill>
                <a:schemeClr val="tx1"/>
              </a:solidFill>
              <a:effectLst>
                <a:outerShdw blurRad="38100" dist="19050" dir="2700000" algn="tl" rotWithShape="0">
                  <a:schemeClr val="dk1">
                    <a:alpha val="40000"/>
                  </a:schemeClr>
                </a:outerShdw>
              </a:effectLst>
            </a:endParaRP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title>
    <c:autoTitleDeleted val="0"/>
    <c:plotArea>
      <c:layout/>
      <c:barChart>
        <c:barDir val="col"/>
        <c:grouping val="clustered"/>
        <c:varyColors val="0"/>
        <c:ser>
          <c:idx val="0"/>
          <c:order val="0"/>
          <c:tx>
            <c:strRef>
              <c:f>Kokonaispäästöt!$C$2</c:f>
              <c:strCache>
                <c:ptCount val="1"/>
                <c:pt idx="0">
                  <c:v>CO2e/t</c:v>
                </c:pt>
              </c:strCache>
            </c:strRef>
          </c:tx>
          <c:spPr>
            <a:solidFill>
              <a:schemeClr val="accent4">
                <a:lumMod val="40000"/>
                <a:lumOff val="60000"/>
              </a:schemeClr>
            </a:solidFill>
            <a:ln>
              <a:solidFill>
                <a:sysClr val="windowText" lastClr="000000"/>
              </a:solidFill>
            </a:ln>
            <a:effectLst/>
          </c:spPr>
          <c:invertIfNegative val="0"/>
          <c:cat>
            <c:strRef>
              <c:extLst>
                <c:ext xmlns:c15="http://schemas.microsoft.com/office/drawing/2012/chart" uri="{02D57815-91ED-43cb-92C2-25804820EDAC}">
                  <c15:fullRef>
                    <c15:sqref>Kokonaispäästöt!$B$8:$B$12</c15:sqref>
                  </c15:fullRef>
                </c:ext>
              </c:extLst>
              <c:f>(Kokonaispäästöt!$B$8,Kokonaispäästöt!$B$10:$B$12)</c:f>
              <c:strCache>
                <c:ptCount val="4"/>
                <c:pt idx="0">
                  <c:v>Scope 2: Sähkö (Aluekohtainen)</c:v>
                </c:pt>
                <c:pt idx="1">
                  <c:v>Scope 2: Kaukolämpö</c:v>
                </c:pt>
                <c:pt idx="2">
                  <c:v>Scope 2: Kaukokylmä</c:v>
                </c:pt>
                <c:pt idx="3">
                  <c:v>Scope 2: Höyry</c:v>
                </c:pt>
              </c:strCache>
            </c:strRef>
          </c:cat>
          <c:val>
            <c:numRef>
              <c:extLst>
                <c:ext xmlns:c15="http://schemas.microsoft.com/office/drawing/2012/chart" uri="{02D57815-91ED-43cb-92C2-25804820EDAC}">
                  <c15:fullRef>
                    <c15:sqref>Kokonaispäästöt!$C$8:$C$12</c15:sqref>
                  </c15:fullRef>
                </c:ext>
              </c:extLst>
              <c:f>(Kokonaispäästöt!$C$8,Kokonaispäästöt!$C$10:$C$12)</c:f>
              <c:numCache>
                <c:formatCode>0.00</c:formatCode>
                <c:ptCount val="4"/>
                <c:pt idx="0">
                  <c:v>0</c:v>
                </c:pt>
                <c:pt idx="1">
                  <c:v>0</c:v>
                </c:pt>
                <c:pt idx="2">
                  <c:v>0</c:v>
                </c:pt>
                <c:pt idx="3">
                  <c:v>0</c:v>
                </c:pt>
              </c:numCache>
            </c:numRef>
          </c:val>
          <c:extLst>
            <c:ext xmlns:c16="http://schemas.microsoft.com/office/drawing/2014/chart" uri="{C3380CC4-5D6E-409C-BE32-E72D297353CC}">
              <c16:uniqueId val="{00000000-D42B-401C-AB74-64B3BDD59E31}"/>
            </c:ext>
          </c:extLst>
        </c:ser>
        <c:dLbls>
          <c:showLegendKey val="0"/>
          <c:showVal val="0"/>
          <c:showCatName val="0"/>
          <c:showSerName val="0"/>
          <c:showPercent val="0"/>
          <c:showBubbleSize val="0"/>
        </c:dLbls>
        <c:gapWidth val="219"/>
        <c:overlap val="-27"/>
        <c:axId val="-136513968"/>
        <c:axId val="-136523760"/>
      </c:barChart>
      <c:catAx>
        <c:axId val="-13651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crossAx val="-136523760"/>
        <c:crosses val="autoZero"/>
        <c:auto val="1"/>
        <c:lblAlgn val="ctr"/>
        <c:lblOffset val="100"/>
        <c:noMultiLvlLbl val="0"/>
      </c:catAx>
      <c:valAx>
        <c:axId val="-1365237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crossAx val="-136513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0" cap="none" spc="0">
          <a:ln w="0"/>
          <a:solidFill>
            <a:schemeClr val="tx1"/>
          </a:solidFill>
          <a:effectLst>
            <a:outerShdw blurRad="38100" dist="19050" dir="2700000" algn="tl" rotWithShape="0">
              <a:schemeClr val="dk1">
                <a:alpha val="40000"/>
              </a:schemeClr>
            </a:outerShdw>
          </a:effectLst>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fi-FI" b="0" cap="none" spc="0">
                <a:ln w="0"/>
                <a:solidFill>
                  <a:schemeClr val="tx1"/>
                </a:solidFill>
                <a:effectLst>
                  <a:outerShdw blurRad="38100" dist="19050" dir="2700000" algn="tl" rotWithShape="0">
                    <a:schemeClr val="dk1">
                      <a:alpha val="40000"/>
                    </a:schemeClr>
                  </a:outerShdw>
                </a:effectLst>
              </a:rPr>
              <a:t>Scope 3 </a:t>
            </a:r>
            <a:r>
              <a:rPr lang="fi-FI" sz="1400" b="0" i="0" u="none" strike="noStrike" cap="none" spc="0" baseline="0">
                <a:ln w="0"/>
                <a:solidFill>
                  <a:schemeClr val="tx1"/>
                </a:solidFill>
                <a:effectLst>
                  <a:outerShdw blurRad="38100" dist="19050" dir="2700000" algn="tl" rotWithShape="0">
                    <a:schemeClr val="dk1">
                      <a:alpha val="40000"/>
                    </a:schemeClr>
                  </a:outerShdw>
                </a:effectLst>
              </a:rPr>
              <a:t>CO</a:t>
            </a:r>
            <a:r>
              <a:rPr lang="fi-FI" sz="1400" b="0" i="0" u="none" strike="noStrike" cap="none" spc="0" baseline="-25000">
                <a:ln w="0"/>
                <a:solidFill>
                  <a:schemeClr val="tx1"/>
                </a:solidFill>
                <a:effectLst>
                  <a:outerShdw blurRad="38100" dist="19050" dir="2700000" algn="tl" rotWithShape="0">
                    <a:schemeClr val="dk1">
                      <a:alpha val="40000"/>
                    </a:schemeClr>
                  </a:outerShdw>
                </a:effectLst>
              </a:rPr>
              <a:t>2</a:t>
            </a:r>
            <a:r>
              <a:rPr lang="fi-FI" sz="1400" b="0" i="0" u="none" strike="noStrike" cap="none" spc="0" baseline="0">
                <a:ln w="0"/>
                <a:solidFill>
                  <a:schemeClr val="tx1"/>
                </a:solidFill>
                <a:effectLst>
                  <a:outerShdw blurRad="38100" dist="19050" dir="2700000" algn="tl" rotWithShape="0">
                    <a:schemeClr val="dk1">
                      <a:alpha val="40000"/>
                    </a:schemeClr>
                  </a:outerShdw>
                </a:effectLst>
              </a:rPr>
              <a:t>e/t </a:t>
            </a:r>
            <a:endParaRPr lang="fi-FI" b="0" cap="none" spc="0">
              <a:ln w="0"/>
              <a:solidFill>
                <a:schemeClr val="tx1"/>
              </a:solidFill>
              <a:effectLst>
                <a:outerShdw blurRad="38100" dist="19050" dir="2700000" algn="tl" rotWithShape="0">
                  <a:schemeClr val="dk1">
                    <a:alpha val="40000"/>
                  </a:schemeClr>
                </a:outerShdw>
              </a:effectLst>
            </a:endParaRP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title>
    <c:autoTitleDeleted val="0"/>
    <c:plotArea>
      <c:layout/>
      <c:barChart>
        <c:barDir val="col"/>
        <c:grouping val="clustered"/>
        <c:varyColors val="0"/>
        <c:ser>
          <c:idx val="0"/>
          <c:order val="0"/>
          <c:tx>
            <c:strRef>
              <c:f>Kokonaispäästöt!$C$2</c:f>
              <c:strCache>
                <c:ptCount val="1"/>
                <c:pt idx="0">
                  <c:v>CO2e/t</c:v>
                </c:pt>
              </c:strCache>
            </c:strRef>
          </c:tx>
          <c:spPr>
            <a:solidFill>
              <a:srgbClr val="0070C0"/>
            </a:solidFill>
            <a:ln>
              <a:solidFill>
                <a:sysClr val="windowText" lastClr="000000"/>
              </a:solidFill>
            </a:ln>
            <a:effectLst/>
          </c:spPr>
          <c:invertIfNegative val="0"/>
          <c:cat>
            <c:strRef>
              <c:f>Kokonaispäästöt!$B$14:$B$28</c:f>
              <c:strCache>
                <c:ptCount val="15"/>
                <c:pt idx="0">
                  <c:v>Kategoria 1: Tuotteet ja palvelut</c:v>
                </c:pt>
                <c:pt idx="1">
                  <c:v>Kategoria 2: Käyttöomaisuus</c:v>
                </c:pt>
                <c:pt idx="2">
                  <c:v>Kategoria 3: Ostoenergian epäsuorat päästöt</c:v>
                </c:pt>
                <c:pt idx="3">
                  <c:v>Kategoria 4: Hankitut kuljetukset</c:v>
                </c:pt>
                <c:pt idx="4">
                  <c:v>Kategoria 5: Jätteet</c:v>
                </c:pt>
                <c:pt idx="5">
                  <c:v>Kategoria 6: Liikematkustus</c:v>
                </c:pt>
                <c:pt idx="6">
                  <c:v>Kategoria 7: Töihin matkustus</c:v>
                </c:pt>
                <c:pt idx="7">
                  <c:v>Kategoria 8: Vuokrattu omaisuus</c:v>
                </c:pt>
                <c:pt idx="8">
                  <c:v>Kategoria 9: Lähtevät kuljetukset</c:v>
                </c:pt>
                <c:pt idx="9">
                  <c:v>Kategoria 10: Myytyjen tuotteiden prosessointi</c:v>
                </c:pt>
                <c:pt idx="10">
                  <c:v>Kategoria 11: Myytyjen tuotteiden käyttö</c:v>
                </c:pt>
                <c:pt idx="11">
                  <c:v>Kategoria 12: Myytyjen tuotteiden käytöstä poisto</c:v>
                </c:pt>
                <c:pt idx="12">
                  <c:v>Kategoria 13: Ulos vuokrattu omaisuus</c:v>
                </c:pt>
                <c:pt idx="13">
                  <c:v>Kategoria 14: Franchising</c:v>
                </c:pt>
                <c:pt idx="14">
                  <c:v>Kategoria 15: Sijoitukset</c:v>
                </c:pt>
              </c:strCache>
            </c:strRef>
          </c:cat>
          <c:val>
            <c:numRef>
              <c:f>Kokonaispäästöt!$C$14:$C$28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50C8-4EA2-B93E-FF4977ECC1B7}"/>
            </c:ext>
          </c:extLst>
        </c:ser>
        <c:dLbls>
          <c:showLegendKey val="0"/>
          <c:showVal val="0"/>
          <c:showCatName val="0"/>
          <c:showSerName val="0"/>
          <c:showPercent val="0"/>
          <c:showBubbleSize val="0"/>
        </c:dLbls>
        <c:gapWidth val="219"/>
        <c:overlap val="-27"/>
        <c:axId val="-136521584"/>
        <c:axId val="-136521040"/>
      </c:barChart>
      <c:catAx>
        <c:axId val="-13652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crossAx val="-136521040"/>
        <c:crosses val="autoZero"/>
        <c:auto val="1"/>
        <c:lblAlgn val="ctr"/>
        <c:lblOffset val="100"/>
        <c:noMultiLvlLbl val="0"/>
      </c:catAx>
      <c:valAx>
        <c:axId val="-136521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fi-FI"/>
          </a:p>
        </c:txPr>
        <c:crossAx val="-136521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0" cap="none" spc="0">
          <a:ln w="0"/>
          <a:solidFill>
            <a:schemeClr val="tx1"/>
          </a:solidFill>
          <a:effectLst>
            <a:outerShdw blurRad="38100" dist="19050" dir="2700000" algn="tl" rotWithShape="0">
              <a:schemeClr val="dk1">
                <a:alpha val="40000"/>
              </a:schemeClr>
            </a:outerShdw>
          </a:effectLst>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Päästökertoimet!$G$1" lockText="1" noThreeD="1"/>
</file>

<file path=xl/ctrlProps/ctrlProp2.xml><?xml version="1.0" encoding="utf-8"?>
<formControlPr xmlns="http://schemas.microsoft.com/office/spreadsheetml/2009/9/main" objectType="CheckBox" fmlaLink="Päästökertoimet!$G$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17</xdr:col>
      <xdr:colOff>36418</xdr:colOff>
      <xdr:row>21</xdr:row>
      <xdr:rowOff>63687</xdr:rowOff>
    </xdr:from>
    <xdr:to>
      <xdr:col>20</xdr:col>
      <xdr:colOff>579675</xdr:colOff>
      <xdr:row>25</xdr:row>
      <xdr:rowOff>14666</xdr:rowOff>
    </xdr:to>
    <xdr:pic>
      <xdr:nvPicPr>
        <xdr:cNvPr id="2" name="Kuv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547536" y="4882216"/>
          <a:ext cx="2459463" cy="668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7</xdr:row>
          <xdr:rowOff>28575</xdr:rowOff>
        </xdr:from>
        <xdr:to>
          <xdr:col>4</xdr:col>
          <xdr:colOff>438150</xdr:colOff>
          <xdr:row>8</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Aluekohtainen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28575</xdr:rowOff>
        </xdr:from>
        <xdr:to>
          <xdr:col>4</xdr:col>
          <xdr:colOff>438150</xdr:colOff>
          <xdr:row>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Markkinalähtöinen</a:t>
              </a:r>
            </a:p>
          </xdr:txBody>
        </xdr:sp>
        <xdr:clientData/>
      </xdr:twoCellAnchor>
    </mc:Choice>
    <mc:Fallback/>
  </mc:AlternateContent>
  <xdr:twoCellAnchor>
    <xdr:from>
      <xdr:col>5</xdr:col>
      <xdr:colOff>352424</xdr:colOff>
      <xdr:row>9</xdr:row>
      <xdr:rowOff>119061</xdr:rowOff>
    </xdr:from>
    <xdr:to>
      <xdr:col>12</xdr:col>
      <xdr:colOff>552450</xdr:colOff>
      <xdr:row>30</xdr:row>
      <xdr:rowOff>238125</xdr:rowOff>
    </xdr:to>
    <xdr:graphicFrame macro="">
      <xdr:nvGraphicFramePr>
        <xdr:cNvPr id="3" name="Kaavi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504824</xdr:colOff>
      <xdr:row>3</xdr:row>
      <xdr:rowOff>147636</xdr:rowOff>
    </xdr:from>
    <xdr:to>
      <xdr:col>24</xdr:col>
      <xdr:colOff>19050</xdr:colOff>
      <xdr:row>24</xdr:row>
      <xdr:rowOff>190500</xdr:rowOff>
    </xdr:to>
    <xdr:graphicFrame macro="">
      <xdr:nvGraphicFramePr>
        <xdr:cNvPr id="4" name="Kaavi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19049</xdr:colOff>
      <xdr:row>29</xdr:row>
      <xdr:rowOff>100011</xdr:rowOff>
    </xdr:from>
    <xdr:to>
      <xdr:col>23</xdr:col>
      <xdr:colOff>323850</xdr:colOff>
      <xdr:row>53</xdr:row>
      <xdr:rowOff>152400</xdr:rowOff>
    </xdr:to>
    <xdr:graphicFrame macro="">
      <xdr:nvGraphicFramePr>
        <xdr:cNvPr id="5" name="Kaavi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609600</xdr:colOff>
      <xdr:row>35</xdr:row>
      <xdr:rowOff>157161</xdr:rowOff>
    </xdr:from>
    <xdr:to>
      <xdr:col>12</xdr:col>
      <xdr:colOff>209550</xdr:colOff>
      <xdr:row>59</xdr:row>
      <xdr:rowOff>76200</xdr:rowOff>
    </xdr:to>
    <xdr:graphicFrame macro="">
      <xdr:nvGraphicFramePr>
        <xdr:cNvPr id="6" name="Kaavi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C29"/>
  <sheetViews>
    <sheetView tabSelected="1" zoomScaleNormal="100" workbookViewId="0">
      <selection activeCell="A2" sqref="A2"/>
    </sheetView>
  </sheetViews>
  <sheetFormatPr defaultColWidth="9.140625" defaultRowHeight="15" x14ac:dyDescent="0.25"/>
  <cols>
    <col min="1" max="1" width="4.28515625" style="1" customWidth="1"/>
    <col min="2" max="2" width="9.140625" style="2"/>
    <col min="3" max="16384" width="9.140625" style="1"/>
  </cols>
  <sheetData>
    <row r="1" spans="2:28" x14ac:dyDescent="0.25">
      <c r="B1" s="5"/>
      <c r="C1" s="9"/>
      <c r="D1" s="9"/>
      <c r="E1" s="9"/>
      <c r="F1" s="9"/>
      <c r="G1" s="9"/>
      <c r="H1" s="9"/>
      <c r="I1" s="9"/>
      <c r="J1" s="9"/>
      <c r="K1" s="9"/>
      <c r="L1" s="9"/>
      <c r="M1" s="9"/>
      <c r="N1" s="9"/>
      <c r="O1" s="9"/>
      <c r="P1" s="9"/>
      <c r="Q1" s="9"/>
      <c r="R1" s="9"/>
      <c r="S1" s="9"/>
      <c r="T1" s="9"/>
      <c r="U1" s="9"/>
      <c r="V1" s="9"/>
      <c r="W1" s="9"/>
      <c r="X1" s="9"/>
      <c r="Y1" s="9"/>
      <c r="Z1" s="9"/>
    </row>
    <row r="2" spans="2:28" ht="15.75" customHeight="1" x14ac:dyDescent="0.25">
      <c r="B2" s="133" t="s">
        <v>1152</v>
      </c>
      <c r="C2" s="133"/>
      <c r="D2" s="133"/>
      <c r="E2" s="133"/>
      <c r="F2" s="133"/>
      <c r="G2" s="133"/>
      <c r="H2" s="133"/>
      <c r="I2" s="133"/>
      <c r="J2" s="133"/>
      <c r="K2" s="133"/>
      <c r="L2" s="133"/>
      <c r="M2" s="133"/>
      <c r="N2" s="133"/>
      <c r="O2" s="133"/>
      <c r="P2" s="133"/>
      <c r="Q2" s="133"/>
      <c r="R2" s="133"/>
      <c r="S2" s="133"/>
      <c r="T2" s="133"/>
      <c r="U2" s="133"/>
      <c r="V2" s="54"/>
      <c r="W2" s="54"/>
      <c r="X2" s="54"/>
      <c r="Y2" s="54"/>
      <c r="Z2" s="54"/>
      <c r="AA2" s="108"/>
      <c r="AB2" s="108"/>
    </row>
    <row r="3" spans="2:28" x14ac:dyDescent="0.25">
      <c r="B3" s="5"/>
      <c r="C3" s="9"/>
      <c r="D3" s="9"/>
      <c r="E3" s="9"/>
      <c r="F3" s="9"/>
      <c r="G3" s="9"/>
      <c r="H3" s="9"/>
      <c r="I3" s="9"/>
      <c r="J3" s="9"/>
      <c r="K3" s="9"/>
      <c r="L3" s="9"/>
      <c r="M3" s="9"/>
      <c r="N3" s="9"/>
      <c r="O3" s="9"/>
      <c r="P3" s="9"/>
      <c r="Q3" s="9"/>
      <c r="R3" s="9"/>
      <c r="S3" s="9"/>
      <c r="T3" s="9"/>
      <c r="U3" s="9"/>
      <c r="V3" s="9"/>
      <c r="W3" s="9"/>
      <c r="X3" s="9"/>
      <c r="Y3" s="9"/>
      <c r="Z3" s="9"/>
    </row>
    <row r="4" spans="2:28" ht="55.5" customHeight="1" x14ac:dyDescent="0.25">
      <c r="B4" s="126" t="s">
        <v>1153</v>
      </c>
      <c r="C4" s="132" t="s">
        <v>1154</v>
      </c>
      <c r="D4" s="132"/>
      <c r="E4" s="132"/>
      <c r="F4" s="132"/>
      <c r="G4" s="132"/>
      <c r="H4" s="132"/>
      <c r="I4" s="132"/>
      <c r="J4" s="132"/>
      <c r="K4" s="132"/>
      <c r="L4" s="132"/>
      <c r="M4" s="132"/>
      <c r="N4" s="132"/>
      <c r="O4" s="132"/>
      <c r="P4" s="132"/>
      <c r="Q4" s="132"/>
      <c r="R4" s="132"/>
      <c r="S4" s="132"/>
      <c r="T4" s="132"/>
      <c r="U4" s="132"/>
      <c r="V4" s="124"/>
      <c r="W4" s="124"/>
      <c r="X4" s="124"/>
      <c r="Y4" s="124"/>
      <c r="Z4" s="124"/>
    </row>
    <row r="5" spans="2:28" ht="34.5" customHeight="1" x14ac:dyDescent="0.25">
      <c r="B5" s="126" t="s">
        <v>1155</v>
      </c>
      <c r="C5" s="132" t="s">
        <v>1157</v>
      </c>
      <c r="D5" s="132"/>
      <c r="E5" s="132"/>
      <c r="F5" s="132"/>
      <c r="G5" s="132"/>
      <c r="H5" s="132"/>
      <c r="I5" s="132"/>
      <c r="J5" s="132"/>
      <c r="K5" s="132"/>
      <c r="L5" s="132"/>
      <c r="M5" s="132"/>
      <c r="N5" s="132"/>
      <c r="O5" s="132"/>
      <c r="P5" s="132"/>
      <c r="Q5" s="132"/>
      <c r="R5" s="132"/>
      <c r="S5" s="132"/>
      <c r="T5" s="132"/>
      <c r="U5" s="132"/>
      <c r="V5" s="124"/>
      <c r="W5" s="124"/>
      <c r="X5" s="124"/>
      <c r="Y5" s="124"/>
      <c r="Z5" s="124"/>
    </row>
    <row r="6" spans="2:28" x14ac:dyDescent="0.25">
      <c r="B6" s="125"/>
      <c r="C6" s="132"/>
      <c r="D6" s="132"/>
      <c r="E6" s="132"/>
      <c r="F6" s="132"/>
      <c r="G6" s="132"/>
      <c r="H6" s="132"/>
      <c r="I6" s="132"/>
      <c r="J6" s="132"/>
      <c r="K6" s="132"/>
      <c r="L6" s="132"/>
      <c r="M6" s="132"/>
      <c r="N6" s="132"/>
      <c r="O6" s="132"/>
      <c r="P6" s="132"/>
      <c r="Q6" s="132"/>
      <c r="R6" s="132"/>
      <c r="S6" s="132"/>
      <c r="T6" s="132"/>
      <c r="U6" s="132"/>
      <c r="V6" s="124"/>
      <c r="W6" s="124"/>
      <c r="X6" s="124"/>
      <c r="Y6" s="124"/>
      <c r="Z6" s="124"/>
    </row>
    <row r="7" spans="2:28" ht="33" customHeight="1" x14ac:dyDescent="0.25">
      <c r="B7" s="134" t="s">
        <v>1156</v>
      </c>
      <c r="C7" s="132" t="s">
        <v>1158</v>
      </c>
      <c r="D7" s="132"/>
      <c r="E7" s="132"/>
      <c r="F7" s="132"/>
      <c r="G7" s="132"/>
      <c r="H7" s="132"/>
      <c r="I7" s="132"/>
      <c r="J7" s="132"/>
      <c r="K7" s="132"/>
      <c r="L7" s="132"/>
      <c r="M7" s="132"/>
      <c r="N7" s="132"/>
      <c r="O7" s="132"/>
      <c r="P7" s="132"/>
      <c r="Q7" s="132"/>
      <c r="R7" s="132"/>
      <c r="S7" s="132"/>
      <c r="T7" s="132"/>
      <c r="U7" s="132"/>
      <c r="V7" s="124"/>
      <c r="W7" s="124"/>
      <c r="X7" s="124"/>
      <c r="Y7" s="124"/>
      <c r="Z7" s="124"/>
    </row>
    <row r="8" spans="2:28" x14ac:dyDescent="0.25">
      <c r="B8" s="134"/>
      <c r="C8" s="132"/>
      <c r="D8" s="132"/>
      <c r="E8" s="132"/>
      <c r="F8" s="132"/>
      <c r="G8" s="132"/>
      <c r="H8" s="132"/>
      <c r="I8" s="132"/>
      <c r="J8" s="132"/>
      <c r="K8" s="132"/>
      <c r="L8" s="132"/>
      <c r="M8" s="132"/>
      <c r="N8" s="132"/>
      <c r="O8" s="132"/>
      <c r="P8" s="132"/>
      <c r="Q8" s="132"/>
      <c r="R8" s="132"/>
      <c r="S8" s="132"/>
      <c r="T8" s="132"/>
      <c r="U8" s="132"/>
      <c r="V8" s="124"/>
      <c r="W8" s="124"/>
      <c r="X8" s="124"/>
      <c r="Y8" s="124"/>
      <c r="Z8" s="124"/>
    </row>
    <row r="9" spans="2:28" ht="15" customHeight="1" x14ac:dyDescent="0.25">
      <c r="B9" s="127"/>
      <c r="C9" s="128"/>
      <c r="D9" s="128"/>
      <c r="E9" s="128"/>
      <c r="F9" s="128"/>
      <c r="G9" s="128"/>
      <c r="H9" s="128"/>
      <c r="I9" s="128"/>
      <c r="J9" s="128"/>
      <c r="K9" s="128"/>
      <c r="L9" s="128"/>
      <c r="M9" s="128"/>
      <c r="N9" s="128"/>
      <c r="O9" s="128"/>
      <c r="P9" s="128"/>
      <c r="Q9" s="128"/>
      <c r="R9" s="128"/>
      <c r="S9" s="128"/>
      <c r="T9" s="128"/>
      <c r="U9" s="128"/>
      <c r="V9" s="128"/>
      <c r="W9" s="128"/>
      <c r="X9" s="128"/>
      <c r="Y9" s="128"/>
      <c r="Z9" s="128"/>
    </row>
    <row r="10" spans="2:28" ht="14.45" customHeight="1" x14ac:dyDescent="0.25">
      <c r="B10" s="134" t="s">
        <v>1159</v>
      </c>
      <c r="C10" s="132" t="s">
        <v>1160</v>
      </c>
      <c r="D10" s="132"/>
      <c r="E10" s="132"/>
      <c r="F10" s="132"/>
      <c r="G10" s="132"/>
      <c r="H10" s="132"/>
      <c r="I10" s="132"/>
      <c r="J10" s="132"/>
      <c r="K10" s="132"/>
      <c r="L10" s="132"/>
      <c r="M10" s="132"/>
      <c r="N10" s="132"/>
      <c r="O10" s="132"/>
      <c r="P10" s="132"/>
      <c r="Q10" s="132"/>
      <c r="R10" s="132"/>
      <c r="S10" s="132"/>
      <c r="T10" s="132"/>
      <c r="U10" s="132"/>
      <c r="V10" s="124"/>
      <c r="W10" s="124"/>
      <c r="X10" s="124"/>
      <c r="Y10" s="124"/>
      <c r="Z10" s="124"/>
    </row>
    <row r="11" spans="2:28" x14ac:dyDescent="0.25">
      <c r="B11" s="134"/>
      <c r="C11" s="132"/>
      <c r="D11" s="132"/>
      <c r="E11" s="132"/>
      <c r="F11" s="132"/>
      <c r="G11" s="132"/>
      <c r="H11" s="132"/>
      <c r="I11" s="132"/>
      <c r="J11" s="132"/>
      <c r="K11" s="132"/>
      <c r="L11" s="132"/>
      <c r="M11" s="132"/>
      <c r="N11" s="132"/>
      <c r="O11" s="132"/>
      <c r="P11" s="132"/>
      <c r="Q11" s="132"/>
      <c r="R11" s="132"/>
      <c r="S11" s="132"/>
      <c r="T11" s="132"/>
      <c r="U11" s="132"/>
      <c r="V11" s="124"/>
      <c r="W11" s="124"/>
      <c r="X11" s="124"/>
      <c r="Y11" s="124"/>
      <c r="Z11" s="124"/>
    </row>
    <row r="12" spans="2:28" x14ac:dyDescent="0.25">
      <c r="B12" s="125"/>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2:28" ht="14.45" customHeight="1" x14ac:dyDescent="0.25">
      <c r="B13" s="134" t="s">
        <v>1161</v>
      </c>
      <c r="C13" s="132" t="s">
        <v>1167</v>
      </c>
      <c r="D13" s="132"/>
      <c r="E13" s="132"/>
      <c r="F13" s="132"/>
      <c r="G13" s="132"/>
      <c r="H13" s="132"/>
      <c r="I13" s="132"/>
      <c r="J13" s="132"/>
      <c r="K13" s="132"/>
      <c r="L13" s="132"/>
      <c r="M13" s="132"/>
      <c r="N13" s="132"/>
      <c r="O13" s="132"/>
      <c r="P13" s="132"/>
      <c r="Q13" s="132"/>
      <c r="R13" s="132"/>
      <c r="S13" s="132"/>
      <c r="T13" s="132"/>
      <c r="U13" s="132"/>
      <c r="V13" s="124"/>
      <c r="W13" s="124"/>
      <c r="X13" s="124"/>
      <c r="Y13" s="124"/>
      <c r="Z13" s="124"/>
    </row>
    <row r="14" spans="2:28" x14ac:dyDescent="0.25">
      <c r="B14" s="134"/>
      <c r="C14" s="132"/>
      <c r="D14" s="132"/>
      <c r="E14" s="132"/>
      <c r="F14" s="132"/>
      <c r="G14" s="132"/>
      <c r="H14" s="132"/>
      <c r="I14" s="132"/>
      <c r="J14" s="132"/>
      <c r="K14" s="132"/>
      <c r="L14" s="132"/>
      <c r="M14" s="132"/>
      <c r="N14" s="132"/>
      <c r="O14" s="132"/>
      <c r="P14" s="132"/>
      <c r="Q14" s="132"/>
      <c r="R14" s="132"/>
      <c r="S14" s="132"/>
      <c r="T14" s="132"/>
      <c r="U14" s="132"/>
      <c r="V14" s="124"/>
      <c r="W14" s="124"/>
      <c r="X14" s="124"/>
      <c r="Y14" s="124"/>
      <c r="Z14" s="124"/>
    </row>
    <row r="15" spans="2:28" x14ac:dyDescent="0.25">
      <c r="B15" s="125"/>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2:28" ht="14.45" customHeight="1" x14ac:dyDescent="0.25">
      <c r="B16" s="134" t="s">
        <v>1162</v>
      </c>
      <c r="C16" s="132" t="s">
        <v>1165</v>
      </c>
      <c r="D16" s="132"/>
      <c r="E16" s="132"/>
      <c r="F16" s="132"/>
      <c r="G16" s="132"/>
      <c r="H16" s="132"/>
      <c r="I16" s="132"/>
      <c r="J16" s="132"/>
      <c r="K16" s="132"/>
      <c r="L16" s="132"/>
      <c r="M16" s="132"/>
      <c r="N16" s="132"/>
      <c r="O16" s="132"/>
      <c r="P16" s="132"/>
      <c r="Q16" s="132"/>
      <c r="R16" s="132"/>
      <c r="S16" s="132"/>
      <c r="T16" s="132"/>
      <c r="U16" s="132"/>
      <c r="V16" s="124"/>
      <c r="W16" s="124"/>
      <c r="X16" s="124"/>
      <c r="Y16" s="124"/>
      <c r="Z16" s="124"/>
    </row>
    <row r="17" spans="1:29" x14ac:dyDescent="0.25">
      <c r="B17" s="134"/>
      <c r="C17" s="132"/>
      <c r="D17" s="132"/>
      <c r="E17" s="132"/>
      <c r="F17" s="132"/>
      <c r="G17" s="132"/>
      <c r="H17" s="132"/>
      <c r="I17" s="132"/>
      <c r="J17" s="132"/>
      <c r="K17" s="132"/>
      <c r="L17" s="132"/>
      <c r="M17" s="132"/>
      <c r="N17" s="132"/>
      <c r="O17" s="132"/>
      <c r="P17" s="132"/>
      <c r="Q17" s="132"/>
      <c r="R17" s="132"/>
      <c r="S17" s="132"/>
      <c r="T17" s="132"/>
      <c r="U17" s="132"/>
      <c r="V17" s="124"/>
      <c r="W17" s="124"/>
      <c r="X17" s="124"/>
      <c r="Y17" s="124"/>
      <c r="Z17" s="124"/>
    </row>
    <row r="18" spans="1:29" x14ac:dyDescent="0.25">
      <c r="B18" s="5"/>
      <c r="C18" s="9"/>
      <c r="D18" s="9"/>
      <c r="E18" s="9"/>
      <c r="F18" s="9"/>
      <c r="G18" s="9"/>
      <c r="H18" s="9"/>
      <c r="I18" s="9"/>
      <c r="J18" s="9"/>
      <c r="K18" s="9"/>
      <c r="L18" s="9"/>
      <c r="M18" s="9"/>
      <c r="N18" s="9"/>
      <c r="O18" s="9"/>
      <c r="P18" s="9"/>
      <c r="Q18" s="9"/>
      <c r="R18" s="9"/>
      <c r="S18" s="9"/>
      <c r="T18" s="9"/>
      <c r="U18" s="9"/>
      <c r="V18" s="9"/>
      <c r="W18" s="9"/>
      <c r="X18" s="9"/>
      <c r="Y18" s="9"/>
      <c r="Z18" s="9"/>
    </row>
    <row r="19" spans="1:29" x14ac:dyDescent="0.25">
      <c r="A19" s="9"/>
      <c r="B19" s="5"/>
      <c r="C19" s="9"/>
      <c r="D19" s="9"/>
      <c r="E19" s="9"/>
      <c r="F19" s="9"/>
      <c r="G19" s="9"/>
      <c r="H19" s="9"/>
      <c r="I19" s="9"/>
      <c r="J19" s="9"/>
      <c r="K19" s="9"/>
      <c r="L19" s="9"/>
      <c r="M19" s="9"/>
      <c r="N19" s="9"/>
      <c r="O19" s="9"/>
      <c r="P19" s="9"/>
      <c r="Q19" s="9"/>
      <c r="R19" s="9"/>
      <c r="S19" s="9"/>
      <c r="T19" s="9"/>
      <c r="U19" s="9"/>
      <c r="V19" s="9"/>
      <c r="W19" s="9"/>
      <c r="X19" s="9"/>
      <c r="Y19" s="9"/>
      <c r="Z19" s="9"/>
      <c r="AA19" s="9"/>
      <c r="AB19" s="9"/>
      <c r="AC19" s="9"/>
    </row>
    <row r="20" spans="1:29" x14ac:dyDescent="0.25">
      <c r="A20" s="9"/>
      <c r="B20" s="5"/>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1:29" x14ac:dyDescent="0.25">
      <c r="A21" s="9"/>
      <c r="B21" s="5"/>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1:29" x14ac:dyDescent="0.25">
      <c r="A22" s="9"/>
      <c r="B22" s="5"/>
      <c r="C22" s="9" t="s">
        <v>1163</v>
      </c>
      <c r="D22" s="9"/>
      <c r="E22" s="9"/>
      <c r="F22" s="9"/>
      <c r="G22" s="9"/>
      <c r="H22" s="9"/>
      <c r="I22" s="9"/>
      <c r="J22" s="9"/>
      <c r="K22" s="9"/>
      <c r="L22" s="9"/>
      <c r="M22" s="9"/>
      <c r="N22" s="9"/>
      <c r="O22" s="9"/>
      <c r="P22" s="9"/>
      <c r="Q22" s="9"/>
      <c r="R22" s="9"/>
      <c r="S22" s="9"/>
      <c r="T22" s="9"/>
      <c r="U22" s="9"/>
      <c r="V22" s="9"/>
      <c r="W22" s="9"/>
      <c r="X22" s="9"/>
      <c r="Y22" s="9"/>
      <c r="Z22" s="9"/>
      <c r="AA22" s="9"/>
      <c r="AB22" s="9"/>
      <c r="AC22" s="9"/>
    </row>
    <row r="23" spans="1:29" x14ac:dyDescent="0.25">
      <c r="A23" s="9"/>
      <c r="B23" s="5"/>
      <c r="C23" s="9" t="s">
        <v>1164</v>
      </c>
      <c r="D23" s="9"/>
      <c r="E23" s="9"/>
      <c r="F23" s="9"/>
      <c r="G23" s="9"/>
      <c r="H23" s="9"/>
      <c r="I23" s="9"/>
      <c r="J23" s="9"/>
      <c r="K23" s="9"/>
      <c r="L23" s="9"/>
      <c r="M23" s="9"/>
      <c r="N23" s="9"/>
      <c r="O23" s="9"/>
      <c r="P23" s="9"/>
      <c r="Q23" s="9"/>
      <c r="R23" s="9"/>
      <c r="S23" s="9"/>
      <c r="T23" s="9"/>
      <c r="U23" s="9"/>
      <c r="V23" s="9"/>
      <c r="W23" s="9"/>
      <c r="X23" s="9"/>
      <c r="Y23" s="9"/>
      <c r="Z23" s="9"/>
      <c r="AA23" s="9"/>
      <c r="AB23" s="9"/>
      <c r="AC23" s="9"/>
    </row>
    <row r="24" spans="1:29" x14ac:dyDescent="0.25">
      <c r="A24" s="9"/>
      <c r="B24" s="5"/>
      <c r="C24" s="9" t="s">
        <v>1172</v>
      </c>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1:29" x14ac:dyDescent="0.25">
      <c r="A25" s="9"/>
      <c r="B25" s="5"/>
      <c r="C25" s="9"/>
      <c r="D25" s="9"/>
      <c r="E25" s="9"/>
      <c r="F25" s="9"/>
      <c r="G25" s="9"/>
      <c r="H25" s="9"/>
      <c r="I25" s="9"/>
      <c r="J25" s="9"/>
      <c r="K25" s="9"/>
      <c r="L25" s="9"/>
      <c r="M25" s="9"/>
      <c r="N25" s="9"/>
      <c r="O25" s="9"/>
      <c r="P25" s="9"/>
      <c r="Q25" s="9"/>
      <c r="R25" s="9"/>
      <c r="S25" s="9"/>
      <c r="T25" s="9"/>
      <c r="U25" s="9"/>
      <c r="V25" s="9"/>
      <c r="W25" s="9"/>
      <c r="X25" s="9"/>
      <c r="Y25" s="9"/>
      <c r="Z25" s="9"/>
      <c r="AA25" s="9"/>
      <c r="AB25" s="9"/>
      <c r="AC25" s="9"/>
    </row>
    <row r="26" spans="1:29" x14ac:dyDescent="0.25">
      <c r="A26" s="9"/>
      <c r="B26" s="5"/>
      <c r="C26" s="9"/>
      <c r="D26" s="9"/>
      <c r="E26" s="9"/>
      <c r="F26" s="9"/>
      <c r="G26" s="9"/>
      <c r="H26" s="9"/>
      <c r="I26" s="9"/>
      <c r="J26" s="9"/>
      <c r="K26" s="9"/>
      <c r="L26" s="9"/>
      <c r="M26" s="9"/>
      <c r="N26" s="9"/>
      <c r="O26" s="9"/>
      <c r="P26" s="9"/>
      <c r="Q26" s="9"/>
      <c r="R26" s="9"/>
      <c r="S26" s="9"/>
      <c r="T26" s="9"/>
      <c r="U26" s="9"/>
      <c r="V26" s="9"/>
      <c r="W26" s="9"/>
      <c r="X26" s="9"/>
      <c r="Y26" s="9"/>
      <c r="Z26" s="9"/>
      <c r="AA26" s="9"/>
      <c r="AB26" s="9"/>
      <c r="AC26" s="9"/>
    </row>
    <row r="27" spans="1:29" x14ac:dyDescent="0.25">
      <c r="A27" s="9"/>
      <c r="B27" s="5"/>
      <c r="C27" s="9"/>
      <c r="D27" s="9"/>
      <c r="E27" s="9"/>
      <c r="F27" s="9"/>
      <c r="G27" s="9"/>
      <c r="H27" s="9"/>
      <c r="I27" s="9"/>
      <c r="J27" s="9"/>
      <c r="K27" s="9"/>
      <c r="L27" s="9"/>
      <c r="M27" s="9"/>
      <c r="N27" s="9"/>
      <c r="O27" s="9"/>
      <c r="P27" s="9"/>
      <c r="Q27" s="9"/>
      <c r="R27" s="9"/>
      <c r="S27" s="9"/>
      <c r="T27" s="9"/>
      <c r="U27" s="9"/>
      <c r="V27" s="9"/>
      <c r="W27" s="9"/>
      <c r="X27" s="9"/>
      <c r="Y27" s="9"/>
      <c r="Z27" s="9"/>
      <c r="AA27" s="9"/>
      <c r="AB27" s="9"/>
      <c r="AC27" s="9"/>
    </row>
    <row r="28" spans="1:29" x14ac:dyDescent="0.25">
      <c r="A28" s="9"/>
      <c r="B28" s="5"/>
      <c r="C28" s="9"/>
      <c r="D28" s="9"/>
      <c r="E28" s="9"/>
      <c r="F28" s="9"/>
      <c r="G28" s="9"/>
      <c r="H28" s="9"/>
      <c r="I28" s="9"/>
      <c r="J28" s="9"/>
      <c r="K28" s="9"/>
      <c r="L28" s="9"/>
      <c r="M28" s="9"/>
      <c r="N28" s="9"/>
      <c r="O28" s="9"/>
      <c r="P28" s="9"/>
      <c r="Q28" s="9"/>
      <c r="R28" s="9"/>
      <c r="S28" s="9"/>
      <c r="T28" s="9"/>
      <c r="U28" s="9"/>
      <c r="V28" s="9"/>
      <c r="W28" s="9"/>
      <c r="X28" s="9"/>
      <c r="Y28" s="9"/>
      <c r="Z28" s="9"/>
    </row>
    <row r="29" spans="1:29" x14ac:dyDescent="0.25">
      <c r="C29" s="9"/>
      <c r="D29" s="9"/>
      <c r="E29" s="9"/>
      <c r="F29" s="9"/>
      <c r="G29" s="9"/>
      <c r="H29" s="9"/>
      <c r="I29" s="9"/>
      <c r="J29" s="9"/>
      <c r="K29" s="9"/>
      <c r="L29" s="9"/>
      <c r="M29" s="9"/>
      <c r="N29" s="9"/>
      <c r="O29" s="9"/>
      <c r="P29" s="9"/>
      <c r="Q29" s="9"/>
      <c r="R29" s="9"/>
      <c r="S29" s="9"/>
      <c r="T29" s="9"/>
      <c r="U29" s="9"/>
      <c r="V29" s="9"/>
      <c r="W29" s="9"/>
      <c r="X29" s="9"/>
      <c r="Y29" s="9"/>
      <c r="Z29" s="9"/>
    </row>
  </sheetData>
  <mergeCells count="11">
    <mergeCell ref="C16:U17"/>
    <mergeCell ref="B2:U2"/>
    <mergeCell ref="B16:B17"/>
    <mergeCell ref="B10:B11"/>
    <mergeCell ref="B7:B8"/>
    <mergeCell ref="B13:B14"/>
    <mergeCell ref="C4:U4"/>
    <mergeCell ref="C5:U6"/>
    <mergeCell ref="C7:U8"/>
    <mergeCell ref="C10:U11"/>
    <mergeCell ref="C13:U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1">
    <tabColor theme="9" tint="0.59999389629810485"/>
  </sheetPr>
  <dimension ref="B2:L32"/>
  <sheetViews>
    <sheetView zoomScaleNormal="100" workbookViewId="0"/>
  </sheetViews>
  <sheetFormatPr defaultColWidth="9.28515625" defaultRowHeight="15" x14ac:dyDescent="0.25"/>
  <cols>
    <col min="1" max="1" width="6.140625" style="1" customWidth="1"/>
    <col min="2" max="2" width="48.42578125" style="2" bestFit="1" customWidth="1"/>
    <col min="3" max="3" width="11" style="2" bestFit="1" customWidth="1"/>
    <col min="4" max="5" width="9.28515625" style="1"/>
    <col min="6" max="6" width="13.28515625" style="1" customWidth="1"/>
    <col min="7" max="7" width="12.42578125" style="1" customWidth="1"/>
    <col min="8" max="8" width="14.28515625" style="1" customWidth="1"/>
    <col min="9" max="9" width="16.28515625" style="1" customWidth="1"/>
    <col min="10" max="10" width="16.5703125" style="1" customWidth="1"/>
    <col min="11" max="11" width="23" style="1" customWidth="1"/>
    <col min="12" max="12" width="17.28515625" style="1" customWidth="1"/>
    <col min="13" max="13" width="17.5703125" style="1" customWidth="1"/>
    <col min="14" max="16384" width="9.28515625" style="1"/>
  </cols>
  <sheetData>
    <row r="2" spans="2:12" ht="19.5" x14ac:dyDescent="0.35">
      <c r="B2" s="55" t="s">
        <v>61</v>
      </c>
      <c r="C2" s="63" t="s">
        <v>341</v>
      </c>
    </row>
    <row r="3" spans="2:12" ht="19.5" thickBot="1" x14ac:dyDescent="0.35">
      <c r="B3" s="50" t="s">
        <v>239</v>
      </c>
      <c r="C3" s="76">
        <f>SUM(C4:C6)</f>
        <v>0</v>
      </c>
      <c r="G3" s="136" t="s">
        <v>306</v>
      </c>
      <c r="H3" s="136"/>
      <c r="I3" s="136"/>
      <c r="J3" s="136"/>
      <c r="K3" s="136"/>
      <c r="L3" s="136"/>
    </row>
    <row r="4" spans="2:12" ht="16.5" customHeight="1" thickTop="1" thickBot="1" x14ac:dyDescent="0.3">
      <c r="B4" s="3" t="s">
        <v>62</v>
      </c>
      <c r="C4" s="31">
        <f>IF(SUM('Tuotettu energia'!G10:G21)&gt;0,SUM('Tuotettu energia'!G10:G21),"0")/1000</f>
        <v>0</v>
      </c>
      <c r="G4" s="135" t="s">
        <v>312</v>
      </c>
      <c r="H4" s="135"/>
      <c r="I4" s="135"/>
      <c r="J4" s="135"/>
      <c r="K4" s="135"/>
      <c r="L4" s="135"/>
    </row>
    <row r="5" spans="2:12" ht="17.25" thickTop="1" thickBot="1" x14ac:dyDescent="0.3">
      <c r="B5" s="4" t="s">
        <v>242</v>
      </c>
      <c r="C5" s="31">
        <f>IF(SUM(Polttoaineet!F10:F30)&gt;0,SUM(Polttoaineet!F10:F30),"0")/1000</f>
        <v>0</v>
      </c>
      <c r="G5" s="135"/>
      <c r="H5" s="135"/>
      <c r="I5" s="135"/>
      <c r="J5" s="135"/>
      <c r="K5" s="135"/>
      <c r="L5" s="135"/>
    </row>
    <row r="6" spans="2:12" ht="17.25" thickTop="1" thickBot="1" x14ac:dyDescent="0.3">
      <c r="B6" s="4" t="s">
        <v>63</v>
      </c>
      <c r="C6" s="31">
        <f>IF(SUM(Hajapäästöt!E:E)&gt;0,SUM(Hajapäästöt!E:E),"0")/1000</f>
        <v>0</v>
      </c>
      <c r="G6" s="135"/>
      <c r="H6" s="135"/>
      <c r="I6" s="135"/>
      <c r="J6" s="135"/>
      <c r="K6" s="135"/>
      <c r="L6" s="135"/>
    </row>
    <row r="7" spans="2:12" ht="20.25" thickTop="1" thickBot="1" x14ac:dyDescent="0.3">
      <c r="B7" s="51" t="s">
        <v>64</v>
      </c>
      <c r="C7" s="75">
        <f>IF(Päästökertoimet!G1=TRUE,Kokonaispäästöt!C8,IF(Päästökertoimet!G2=TRUE,Kokonaispäästöt!C9,0))+SUM(C10:C12)</f>
        <v>0</v>
      </c>
      <c r="G7" s="135"/>
      <c r="H7" s="135"/>
      <c r="I7" s="135"/>
      <c r="J7" s="135"/>
      <c r="K7" s="135"/>
      <c r="L7" s="135"/>
    </row>
    <row r="8" spans="2:12" ht="17.25" thickTop="1" thickBot="1" x14ac:dyDescent="0.3">
      <c r="B8" s="4" t="s">
        <v>65</v>
      </c>
      <c r="C8" s="31">
        <f>IF(SUM('Sähkö ja höyry'!E12:E20)&gt;0,SUM('Sähkö ja höyry'!E12:E20),"0")/1000</f>
        <v>0</v>
      </c>
    </row>
    <row r="9" spans="2:12" ht="17.25" thickTop="1" thickBot="1" x14ac:dyDescent="0.3">
      <c r="B9" s="4" t="s">
        <v>66</v>
      </c>
      <c r="C9" s="31">
        <f>IF(SUM('Sähkö ja höyry'!E25:E33)&gt;0,SUM('Sähkö ja höyry'!E25:E33),"0")/1000</f>
        <v>0</v>
      </c>
    </row>
    <row r="10" spans="2:12" ht="17.25" thickTop="1" thickBot="1" x14ac:dyDescent="0.3">
      <c r="B10" s="4" t="s">
        <v>67</v>
      </c>
      <c r="C10" s="31">
        <f>IF(SUM('Kaukolämpö ja kaukokylmä'!E11:E17)+SUM('Kaukolämpö ja kaukokylmä'!G20:G23)&gt;0,SUM('Kaukolämpö ja kaukokylmä'!E11:E17)+SUM('Kaukolämpö ja kaukokylmä'!G20:G23),"0")/1000</f>
        <v>0</v>
      </c>
    </row>
    <row r="11" spans="2:12" ht="17.25" thickTop="1" thickBot="1" x14ac:dyDescent="0.3">
      <c r="B11" s="4" t="s">
        <v>68</v>
      </c>
      <c r="C11" s="31">
        <f>IF(SUM('Kaukolämpö ja kaukokylmä'!E29:E35)&gt;0,SUM('Kaukolämpö ja kaukokylmä'!E29:E35),"0")/1000</f>
        <v>0</v>
      </c>
    </row>
    <row r="12" spans="2:12" ht="17.25" thickTop="1" thickBot="1" x14ac:dyDescent="0.3">
      <c r="B12" s="4" t="s">
        <v>69</v>
      </c>
      <c r="C12" s="31">
        <f>IF(SUM('Sähkö ja höyry'!E39:E45)&gt;0,SUM('Sähkö ja höyry'!E39:E45),"0")/1000</f>
        <v>0</v>
      </c>
    </row>
    <row r="13" spans="2:12" ht="20.25" thickTop="1" thickBot="1" x14ac:dyDescent="0.3">
      <c r="B13" s="51" t="s">
        <v>70</v>
      </c>
      <c r="C13" s="75">
        <f>SUM(C15:C28)</f>
        <v>0</v>
      </c>
    </row>
    <row r="14" spans="2:12" ht="17.25" thickTop="1" thickBot="1" x14ac:dyDescent="0.3">
      <c r="B14" s="4" t="s">
        <v>71</v>
      </c>
      <c r="C14" s="130">
        <f>IF(SUM('Ruoka ja juoma'!E:E)+SUM('Ruoka ja juoma'!J:J)&gt;0,SUM('Ruoka ja juoma'!E:E)+SUM('Ruoka ja juoma'!J:J),"0")/1000+IF(SUM(Rakennusmateriaalit!K:K)&gt;0,SUM(Rakennusmateriaalit!K:K),"0")/1000</f>
        <v>0</v>
      </c>
    </row>
    <row r="15" spans="2:12" ht="17.25" thickTop="1" thickBot="1" x14ac:dyDescent="0.3">
      <c r="B15" s="4" t="s">
        <v>72</v>
      </c>
      <c r="C15" s="31">
        <f>IF(SUM(Käyttöomaisuus!E:E)+SUM(Käyttöomaisuus!K:K)&gt;0,SUM(Käyttöomaisuus!E:E)+SUM(Käyttöomaisuus!K:K),"0")/1000</f>
        <v>0</v>
      </c>
    </row>
    <row r="16" spans="2:12" ht="17.25" thickTop="1" thickBot="1" x14ac:dyDescent="0.3">
      <c r="B16" s="4" t="s">
        <v>73</v>
      </c>
      <c r="C16" s="31">
        <f>IF(Päästökertoimet!G1=TRUE,SUM('Sähkö ja höyry'!L12:L20),IF(Päästökertoimet!G2=TRUE,SUM('Sähkö ja höyry'!L25:L33),0))/1000+IF(SUM('Kaukolämpö ja kaukokylmä'!N10:N23)&gt;0,SUM('Kaukolämpö ja kaukokylmä'!N10:N23),"0")/1000+IF(SUM(Polttoaineet!N10:N30)&gt;0,SUM(Polttoaineet!N10:N30),"0")/1000+IF(SUM('Sähkö ja höyry'!L39:L45)&gt;0,SUM('Sähkö ja höyry'!L39:L45),"0")/1000+IF(SUM('Tuotettu energia'!P10:P21)&gt;0,SUM('Tuotettu energia'!P10:P21),"0")/1000+IF(SUM('Kaukolämpö ja kaukokylmä'!N29:N35)&gt;0,SUM('Kaukolämpö ja kaukokylmä'!N29:N35),"0")/1000</f>
        <v>0</v>
      </c>
    </row>
    <row r="17" spans="2:5" ht="17.25" thickTop="1" thickBot="1" x14ac:dyDescent="0.3">
      <c r="B17" s="4" t="s">
        <v>74</v>
      </c>
      <c r="C17" s="31">
        <f>IF(SUM(Kuljetukset!F:F)&gt;0,SUM(Kuljetukset!F:F),"0")/1000</f>
        <v>0</v>
      </c>
    </row>
    <row r="18" spans="2:5" ht="17.25" thickTop="1" thickBot="1" x14ac:dyDescent="0.3">
      <c r="B18" s="4" t="s">
        <v>75</v>
      </c>
      <c r="C18" s="31">
        <f>IF(SUM(Jätteet!E13:E22)&gt;0,SUM(Jätteet!E13:E22),"0")/1000+IF(SUM(Jätteet!E26:E35)&gt;0,SUM(Jätteet!E26:E35),"0")/1000+IF(SUM(Jätteet!E9)&gt;0,SUM(Jätteet!E9),"0")/1000+IF(SUM(Jätteet!M9:M16)&gt;0,SUM(Jätteet!M9:M16),"0")/1000+IF(SUM(Jätteet!M20:M25)&gt;0,SUM(Jätteet!M20:M25),"0")/1000+IF(SUM(Jätteet!M29:M34)&gt;0,SUM(Jätteet!M29:M34),"0")/1000+IF(SUM(Jätteet!M38:M43)&gt;0,SUM(Jätteet!M38:M43),"0")/1000</f>
        <v>0</v>
      </c>
      <c r="E18" s="36"/>
    </row>
    <row r="19" spans="2:5" ht="17.25" thickTop="1" thickBot="1" x14ac:dyDescent="0.3">
      <c r="B19" s="4" t="s">
        <v>76</v>
      </c>
      <c r="C19" s="31">
        <f>IF(SUM(Matkustus!E10:E19)+SUM(Matkustus!F23:F32)+SUM(Matkustus!F36:F45)+SUM(Matkustus!F49:F58)+SUM(Matkustus!G63:G72)+SUM(Matkustus!G77:G86)+SUM(Matkustus!G92:G101)&gt;0,SUM(Matkustus!E10:E19)+SUM(Matkustus!F23:F32)+SUM(Matkustus!F36:F45)+SUM(Matkustus!F49:F58)+SUM(Matkustus!G63:G72)+SUM(Matkustus!G77:G86)+SUM(Matkustus!G92:G101),"0")/1000</f>
        <v>0</v>
      </c>
    </row>
    <row r="20" spans="2:5" ht="17.25" thickTop="1" thickBot="1" x14ac:dyDescent="0.3">
      <c r="B20" s="4" t="s">
        <v>77</v>
      </c>
      <c r="C20" s="31">
        <f>IF(SUM(Matkustus!O:O)+SUM(Matkustus!N10:N19)&gt;0,SUM(Matkustus!O:O)+SUM(Matkustus!N10:N19),"0")/1000</f>
        <v>0</v>
      </c>
    </row>
    <row r="21" spans="2:5" ht="17.25" thickTop="1" thickBot="1" x14ac:dyDescent="0.3">
      <c r="B21" s="4" t="s">
        <v>78</v>
      </c>
      <c r="C21" s="31">
        <f>IF(SUM('Vuokrat ja leasing'!F11:F17)+SUM('Vuokrat ja leasing'!E21:E26)+SUM('Vuokrat ja leasing'!E31:E36)+SUM('Vuokrat ja leasing'!E40:E45)&gt;0,SUM('Vuokrat ja leasing'!F11:F17)+SUM('Vuokrat ja leasing'!E21:E26)+SUM('Vuokrat ja leasing'!E31:E36)+SUM('Vuokrat ja leasing'!E40:E45),"0")/1000</f>
        <v>0</v>
      </c>
    </row>
    <row r="22" spans="2:5" ht="17.25" thickTop="1" thickBot="1" x14ac:dyDescent="0.3">
      <c r="B22" s="4" t="s">
        <v>79</v>
      </c>
      <c r="C22" s="31">
        <f>IF(SUM(Kuljetukset!O:O)&gt;0,SUM(Kuljetukset!O:O),"0")/1000</f>
        <v>0</v>
      </c>
    </row>
    <row r="23" spans="2:5" ht="17.25" thickTop="1" thickBot="1" x14ac:dyDescent="0.3">
      <c r="B23" s="4" t="s">
        <v>80</v>
      </c>
      <c r="C23" s="31">
        <f>IF(SUM('Tuotteen prosessointi ja käyttö'!F:F)&gt;0,SUM('Tuotteen prosessointi ja käyttö'!F:F),"0")/1000</f>
        <v>0</v>
      </c>
    </row>
    <row r="24" spans="2:5" ht="17.25" thickTop="1" thickBot="1" x14ac:dyDescent="0.3">
      <c r="B24" s="4" t="s">
        <v>81</v>
      </c>
      <c r="C24" s="31">
        <f>IF(SUM('Tuotteen prosessointi ja käyttö'!M:M)&gt;0,SUM('Tuotteen prosessointi ja käyttö'!M:M),"0")/1000</f>
        <v>0</v>
      </c>
    </row>
    <row r="25" spans="2:5" ht="17.25" thickTop="1" thickBot="1" x14ac:dyDescent="0.3">
      <c r="B25" s="4" t="s">
        <v>82</v>
      </c>
      <c r="C25" s="31">
        <f>IF(SUM('Tuotteiden loppukäsittely'!E:E)&gt;0,SUM('Tuotteiden loppukäsittely'!E:E),"0")/1000</f>
        <v>0</v>
      </c>
    </row>
    <row r="26" spans="2:5" ht="17.25" thickTop="1" thickBot="1" x14ac:dyDescent="0.3">
      <c r="B26" s="4" t="s">
        <v>83</v>
      </c>
      <c r="C26" s="31">
        <f>IF(SUM('Vuokrat ja leasing'!M11:M17)+SUM('Vuokrat ja leasing'!L21:L26)+SUM('Vuokrat ja leasing'!L31:L36)+SUM('Vuokrat ja leasing'!L40:L45)&gt;0,SUM('Vuokrat ja leasing'!M11:M17)+SUM('Vuokrat ja leasing'!L21:L26)+SUM('Vuokrat ja leasing'!L31:L36)+SUM('Vuokrat ja leasing'!L40:L45),"0")/1000</f>
        <v>0</v>
      </c>
    </row>
    <row r="27" spans="2:5" ht="17.25" thickTop="1" thickBot="1" x14ac:dyDescent="0.3">
      <c r="B27" s="4" t="s">
        <v>84</v>
      </c>
      <c r="C27" s="66">
        <f>IF(SUM('Franchising ja sijoitukset'!F:F)&gt;0,SUM('Franchising ja sijoitukset'!F:F),"0")/1000</f>
        <v>0</v>
      </c>
    </row>
    <row r="28" spans="2:5" ht="17.25" thickTop="1" thickBot="1" x14ac:dyDescent="0.3">
      <c r="B28" s="4" t="s">
        <v>85</v>
      </c>
      <c r="C28" s="31">
        <f>IF(SUM('Franchising ja sijoitukset'!M:M)&gt;0,SUM('Franchising ja sijoitukset'!M:M),"0")/1000</f>
        <v>0</v>
      </c>
    </row>
    <row r="29" spans="2:5" ht="19.5" thickTop="1" x14ac:dyDescent="0.3">
      <c r="B29" s="55" t="s">
        <v>240</v>
      </c>
      <c r="C29" s="62">
        <f>IF(Päästökertoimet!G1=TRUE,Kokonaispäästöt!C8,IF(Päästökertoimet!G2=TRUE,Kokonaispäästöt!C9,0))+SUM(C4:C6,C14:C28,C10:C12)</f>
        <v>0</v>
      </c>
    </row>
    <row r="31" spans="2:5" x14ac:dyDescent="0.25">
      <c r="E31" s="36"/>
    </row>
    <row r="32" spans="2:5" x14ac:dyDescent="0.25">
      <c r="E32" s="36"/>
    </row>
  </sheetData>
  <mergeCells count="2">
    <mergeCell ref="G4:L7"/>
    <mergeCell ref="G3:L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7</xdr:row>
                    <xdr:rowOff>28575</xdr:rowOff>
                  </from>
                  <to>
                    <xdr:col>4</xdr:col>
                    <xdr:colOff>438150</xdr:colOff>
                    <xdr:row>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8</xdr:row>
                    <xdr:rowOff>28575</xdr:rowOff>
                  </from>
                  <to>
                    <xdr:col>4</xdr:col>
                    <xdr:colOff>438150</xdr:colOff>
                    <xdr:row>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P27"/>
  <sheetViews>
    <sheetView topLeftCell="A4" workbookViewId="0">
      <selection activeCell="B10" sqref="B10:C11"/>
    </sheetView>
  </sheetViews>
  <sheetFormatPr defaultColWidth="9.140625" defaultRowHeight="15" x14ac:dyDescent="0.25"/>
  <cols>
    <col min="1" max="1" width="9.140625" style="1"/>
    <col min="2" max="2" width="25.85546875" style="1" bestFit="1" customWidth="1"/>
    <col min="3" max="3" width="20.85546875" style="1" bestFit="1" customWidth="1"/>
    <col min="4" max="4" width="22.42578125" style="1" bestFit="1" customWidth="1"/>
    <col min="5" max="5" width="23.85546875" style="1" bestFit="1" customWidth="1"/>
    <col min="6" max="6" width="22.42578125" style="1" bestFit="1" customWidth="1"/>
    <col min="7" max="7" width="15.28515625" style="1" bestFit="1" customWidth="1"/>
    <col min="8" max="10" width="9.140625" style="1"/>
    <col min="11" max="11" width="25.85546875" style="1" bestFit="1" customWidth="1"/>
    <col min="12" max="12" width="29.42578125" style="1" bestFit="1" customWidth="1"/>
    <col min="13" max="13" width="22.42578125" style="1" bestFit="1" customWidth="1"/>
    <col min="14" max="14" width="23.85546875" style="1" bestFit="1" customWidth="1"/>
    <col min="15" max="15" width="22.42578125" style="1" bestFit="1" customWidth="1"/>
    <col min="16" max="16" width="15.28515625" style="1" bestFit="1" customWidth="1"/>
    <col min="17" max="16384" width="9.140625" style="1"/>
  </cols>
  <sheetData>
    <row r="2" spans="2:16" ht="15.75" x14ac:dyDescent="0.25">
      <c r="B2" s="136" t="s">
        <v>306</v>
      </c>
      <c r="C2" s="136"/>
      <c r="D2" s="136"/>
      <c r="E2" s="136"/>
      <c r="F2" s="136"/>
      <c r="G2" s="136"/>
      <c r="K2" s="136" t="s">
        <v>306</v>
      </c>
      <c r="L2" s="136"/>
      <c r="M2" s="136"/>
      <c r="N2" s="136"/>
      <c r="O2" s="136"/>
    </row>
    <row r="3" spans="2:16" x14ac:dyDescent="0.25">
      <c r="B3" s="139" t="s">
        <v>1148</v>
      </c>
      <c r="C3" s="139"/>
      <c r="D3" s="139"/>
      <c r="E3" s="139"/>
      <c r="F3" s="139"/>
      <c r="G3" s="139"/>
      <c r="K3" s="139" t="s">
        <v>307</v>
      </c>
      <c r="L3" s="139"/>
      <c r="M3" s="139"/>
      <c r="N3" s="139"/>
      <c r="O3" s="139"/>
    </row>
    <row r="4" spans="2:16" x14ac:dyDescent="0.25">
      <c r="B4" s="139"/>
      <c r="C4" s="139"/>
      <c r="D4" s="139"/>
      <c r="E4" s="139"/>
      <c r="F4" s="139"/>
      <c r="G4" s="139"/>
      <c r="K4" s="139"/>
      <c r="L4" s="139"/>
      <c r="M4" s="139"/>
      <c r="N4" s="139"/>
      <c r="O4" s="139"/>
    </row>
    <row r="5" spans="2:16" ht="15.75" x14ac:dyDescent="0.25">
      <c r="B5" s="69"/>
      <c r="C5" s="69"/>
      <c r="D5" s="69"/>
      <c r="E5" s="69"/>
      <c r="F5" s="69"/>
      <c r="G5" s="69"/>
    </row>
    <row r="6" spans="2:16" ht="18.75" x14ac:dyDescent="0.3">
      <c r="B6" s="137" t="s">
        <v>304</v>
      </c>
      <c r="C6" s="137"/>
      <c r="D6" s="137"/>
      <c r="E6" s="137"/>
      <c r="F6" s="137"/>
      <c r="G6" s="137"/>
      <c r="K6" s="137" t="s">
        <v>112</v>
      </c>
      <c r="L6" s="137"/>
      <c r="M6" s="137"/>
      <c r="N6" s="137"/>
      <c r="O6" s="137"/>
    </row>
    <row r="7" spans="2:16" x14ac:dyDescent="0.25">
      <c r="B7" s="137" t="s">
        <v>308</v>
      </c>
      <c r="C7" s="137"/>
      <c r="D7" s="137"/>
      <c r="E7" s="137"/>
      <c r="F7" s="137"/>
      <c r="G7" s="137"/>
      <c r="K7" s="137" t="s">
        <v>308</v>
      </c>
      <c r="L7" s="137"/>
      <c r="M7" s="137"/>
      <c r="N7" s="137"/>
      <c r="O7" s="137"/>
    </row>
    <row r="8" spans="2:16" ht="15.75" thickBot="1" x14ac:dyDescent="0.3">
      <c r="B8" s="138"/>
      <c r="C8" s="138"/>
      <c r="D8" s="138"/>
      <c r="E8" s="138"/>
      <c r="F8" s="138"/>
      <c r="G8" s="138"/>
      <c r="K8" s="138"/>
      <c r="L8" s="138"/>
      <c r="M8" s="138"/>
      <c r="N8" s="138"/>
      <c r="O8" s="138"/>
    </row>
    <row r="9" spans="2:16" ht="18.75" thickBot="1" x14ac:dyDescent="0.4">
      <c r="B9" s="10" t="s">
        <v>292</v>
      </c>
      <c r="C9" s="10" t="s">
        <v>293</v>
      </c>
      <c r="D9" s="10" t="s">
        <v>551</v>
      </c>
      <c r="E9" s="10" t="s">
        <v>58</v>
      </c>
      <c r="F9" s="10" t="s">
        <v>107</v>
      </c>
      <c r="G9" s="12" t="s">
        <v>60</v>
      </c>
      <c r="K9" s="10" t="s">
        <v>292</v>
      </c>
      <c r="L9" s="10" t="s">
        <v>293</v>
      </c>
      <c r="M9" s="10" t="s">
        <v>551</v>
      </c>
      <c r="N9" s="10" t="s">
        <v>58</v>
      </c>
      <c r="O9" s="10" t="s">
        <v>107</v>
      </c>
      <c r="P9" s="10" t="s">
        <v>60</v>
      </c>
    </row>
    <row r="10" spans="2:16" x14ac:dyDescent="0.25">
      <c r="B10" s="14"/>
      <c r="C10" s="34"/>
      <c r="D10" s="34"/>
      <c r="E10" s="13" t="str">
        <f>_xlfn.IFNA(VLOOKUP(B10,Päästökertoimet!$W$78:$Y$83,2,FALSE),"-")</f>
        <v>-</v>
      </c>
      <c r="F10" s="13" t="str">
        <f>_xlfn.IFNA(VLOOKUP(B10,Päästökertoimet!$W$78:$Y$83,3,FALSE),"-")</f>
        <v>-</v>
      </c>
      <c r="G10" s="23">
        <f>IFERROR(C10*F10,0)+IFERROR(D10*E10,0)</f>
        <v>0</v>
      </c>
      <c r="K10" s="104" t="str">
        <f>IF(B10=0,"-",B10)</f>
        <v>-</v>
      </c>
      <c r="L10" s="13" t="str">
        <f>IF(C10=0,"-",C10)</f>
        <v>-</v>
      </c>
      <c r="M10" s="13" t="str">
        <f>IF(D10=0,"-",D10)</f>
        <v>-</v>
      </c>
      <c r="N10" s="13" t="str">
        <f>_xlfn.IFNA(VLOOKUP(K10,Päästökertoimet!$W$89:$Y$94,2,FALSE),"-")</f>
        <v>-</v>
      </c>
      <c r="O10" s="13" t="str">
        <f>_xlfn.IFNA(VLOOKUP(K10,Päästökertoimet!$W$89:$Y$94,3,FALSE),"-")</f>
        <v>-</v>
      </c>
      <c r="P10" s="23">
        <f>IFERROR(L10*O10,0)+IFERROR(M10*N10,0)</f>
        <v>0</v>
      </c>
    </row>
    <row r="11" spans="2:16" x14ac:dyDescent="0.25">
      <c r="B11" s="16"/>
      <c r="C11" s="27"/>
      <c r="D11" s="27"/>
      <c r="E11" s="7" t="str">
        <f>_xlfn.IFNA(VLOOKUP(B11,Päästökertoimet!$W$78:$Y$83,2,FALSE),"-")</f>
        <v>-</v>
      </c>
      <c r="F11" s="7" t="str">
        <f>_xlfn.IFNA(VLOOKUP(B11,Päästökertoimet!$W$78:$Y$83,3,FALSE),"-")</f>
        <v>-</v>
      </c>
      <c r="G11" s="23">
        <f t="shared" ref="G11:G16" si="0">IFERROR(C11*F11,0)+IFERROR(D11*E11,0)</f>
        <v>0</v>
      </c>
      <c r="K11" s="105" t="str">
        <f t="shared" ref="K11:K16" si="1">IF(B11=0,"-",B11)</f>
        <v>-</v>
      </c>
      <c r="L11" s="7" t="str">
        <f t="shared" ref="L11:L15" si="2">IF(C11=0,"-",C11)</f>
        <v>-</v>
      </c>
      <c r="M11" s="7" t="str">
        <f t="shared" ref="M11:M16" si="3">IF(D11=0,"-",D11)</f>
        <v>-</v>
      </c>
      <c r="N11" s="7" t="str">
        <f>_xlfn.IFNA(VLOOKUP(K11,Päästökertoimet!$W$89:$Y$94,2,FALSE),"-")</f>
        <v>-</v>
      </c>
      <c r="O11" s="7" t="str">
        <f>_xlfn.IFNA(VLOOKUP(K11,Päästökertoimet!$W$89:$Y$94,3,FALSE),"-")</f>
        <v>-</v>
      </c>
      <c r="P11" s="23">
        <f t="shared" ref="P11:P18" si="4">IFERROR(L11*O11,0)+IFERROR(M11*N11,0)</f>
        <v>0</v>
      </c>
    </row>
    <row r="12" spans="2:16" x14ac:dyDescent="0.25">
      <c r="B12" s="16"/>
      <c r="C12" s="27"/>
      <c r="D12" s="27"/>
      <c r="E12" s="7" t="str">
        <f>_xlfn.IFNA(VLOOKUP(B12,Päästökertoimet!$W$78:$Y$83,2,FALSE),"-")</f>
        <v>-</v>
      </c>
      <c r="F12" s="7" t="str">
        <f>_xlfn.IFNA(VLOOKUP(B12,Päästökertoimet!$W$78:$Y$83,3,FALSE),"-")</f>
        <v>-</v>
      </c>
      <c r="G12" s="23">
        <f t="shared" si="0"/>
        <v>0</v>
      </c>
      <c r="K12" s="105" t="str">
        <f t="shared" si="1"/>
        <v>-</v>
      </c>
      <c r="L12" s="7" t="str">
        <f t="shared" si="2"/>
        <v>-</v>
      </c>
      <c r="M12" s="7" t="str">
        <f t="shared" si="3"/>
        <v>-</v>
      </c>
      <c r="N12" s="7" t="str">
        <f>_xlfn.IFNA(VLOOKUP(K12,Päästökertoimet!$W$89:$Y$94,2,FALSE),"-")</f>
        <v>-</v>
      </c>
      <c r="O12" s="7" t="str">
        <f>_xlfn.IFNA(VLOOKUP(K12,Päästökertoimet!$W$89:$Y$94,3,FALSE),"-")</f>
        <v>-</v>
      </c>
      <c r="P12" s="23">
        <f t="shared" si="4"/>
        <v>0</v>
      </c>
    </row>
    <row r="13" spans="2:16" x14ac:dyDescent="0.25">
      <c r="B13" s="16"/>
      <c r="C13" s="27"/>
      <c r="D13" s="27"/>
      <c r="E13" s="7" t="str">
        <f>_xlfn.IFNA(VLOOKUP(B13,Päästökertoimet!$W$78:$Y$83,2,FALSE),"-")</f>
        <v>-</v>
      </c>
      <c r="F13" s="7" t="str">
        <f>_xlfn.IFNA(VLOOKUP(B13,Päästökertoimet!$W$78:$Y$83,3,FALSE),"-")</f>
        <v>-</v>
      </c>
      <c r="G13" s="23">
        <f t="shared" si="0"/>
        <v>0</v>
      </c>
      <c r="K13" s="105" t="str">
        <f t="shared" si="1"/>
        <v>-</v>
      </c>
      <c r="L13" s="7" t="str">
        <f t="shared" si="2"/>
        <v>-</v>
      </c>
      <c r="M13" s="7" t="str">
        <f t="shared" si="3"/>
        <v>-</v>
      </c>
      <c r="N13" s="7" t="str">
        <f>_xlfn.IFNA(VLOOKUP(K13,Päästökertoimet!$W$89:$Y$94,2,FALSE),"-")</f>
        <v>-</v>
      </c>
      <c r="O13" s="7" t="str">
        <f>_xlfn.IFNA(VLOOKUP(K13,Päästökertoimet!$W$89:$Y$94,3,FALSE),"-")</f>
        <v>-</v>
      </c>
      <c r="P13" s="23">
        <f t="shared" si="4"/>
        <v>0</v>
      </c>
    </row>
    <row r="14" spans="2:16" x14ac:dyDescent="0.25">
      <c r="B14" s="16"/>
      <c r="C14" s="27"/>
      <c r="D14" s="27"/>
      <c r="E14" s="7" t="str">
        <f>_xlfn.IFNA(VLOOKUP(B14,Päästökertoimet!$W$78:$Y$83,2,FALSE),"-")</f>
        <v>-</v>
      </c>
      <c r="F14" s="7" t="str">
        <f>_xlfn.IFNA(VLOOKUP(B14,Päästökertoimet!$W$78:$Y$83,3,FALSE),"-")</f>
        <v>-</v>
      </c>
      <c r="G14" s="23">
        <f t="shared" si="0"/>
        <v>0</v>
      </c>
      <c r="K14" s="105" t="str">
        <f t="shared" si="1"/>
        <v>-</v>
      </c>
      <c r="L14" s="7" t="str">
        <f t="shared" si="2"/>
        <v>-</v>
      </c>
      <c r="M14" s="7" t="str">
        <f t="shared" si="3"/>
        <v>-</v>
      </c>
      <c r="N14" s="7" t="str">
        <f>_xlfn.IFNA(VLOOKUP(K14,Päästökertoimet!$W$89:$Y$94,2,FALSE),"-")</f>
        <v>-</v>
      </c>
      <c r="O14" s="7" t="str">
        <f>_xlfn.IFNA(VLOOKUP(K14,Päästökertoimet!$W$89:$Y$94,3,FALSE),"-")</f>
        <v>-</v>
      </c>
      <c r="P14" s="23">
        <f t="shared" si="4"/>
        <v>0</v>
      </c>
    </row>
    <row r="15" spans="2:16" x14ac:dyDescent="0.25">
      <c r="B15" s="16"/>
      <c r="C15" s="27"/>
      <c r="D15" s="27"/>
      <c r="E15" s="7" t="str">
        <f>_xlfn.IFNA(VLOOKUP(B15,Päästökertoimet!$W$78:$Y$83,2,FALSE),"-")</f>
        <v>-</v>
      </c>
      <c r="F15" s="7" t="str">
        <f>_xlfn.IFNA(VLOOKUP(B15,Päästökertoimet!$W$78:$Y$83,3,FALSE),"-")</f>
        <v>-</v>
      </c>
      <c r="G15" s="23">
        <f t="shared" si="0"/>
        <v>0</v>
      </c>
      <c r="K15" s="105" t="str">
        <f t="shared" si="1"/>
        <v>-</v>
      </c>
      <c r="L15" s="7" t="str">
        <f t="shared" si="2"/>
        <v>-</v>
      </c>
      <c r="M15" s="7" t="str">
        <f t="shared" si="3"/>
        <v>-</v>
      </c>
      <c r="N15" s="7" t="str">
        <f>_xlfn.IFNA(VLOOKUP(K15,Päästökertoimet!$W$89:$Y$94,2,FALSE),"-")</f>
        <v>-</v>
      </c>
      <c r="O15" s="7" t="str">
        <f>_xlfn.IFNA(VLOOKUP(K15,Päästökertoimet!$W$89:$Y$94,3,FALSE),"-")</f>
        <v>-</v>
      </c>
      <c r="P15" s="23">
        <f t="shared" si="4"/>
        <v>0</v>
      </c>
    </row>
    <row r="16" spans="2:16" x14ac:dyDescent="0.25">
      <c r="B16" s="16"/>
      <c r="C16" s="27"/>
      <c r="D16" s="27"/>
      <c r="E16" s="7" t="str">
        <f>_xlfn.IFNA(VLOOKUP(B16,Päästökertoimet!$W$78:$Y$83,2,FALSE),"-")</f>
        <v>-</v>
      </c>
      <c r="F16" s="7" t="str">
        <f>_xlfn.IFNA(VLOOKUP(B16,Päästökertoimet!$W$78:$Y$83,3,FALSE),"-")</f>
        <v>-</v>
      </c>
      <c r="G16" s="23">
        <f t="shared" si="0"/>
        <v>0</v>
      </c>
      <c r="K16" s="105" t="str">
        <f t="shared" si="1"/>
        <v>-</v>
      </c>
      <c r="L16" s="7" t="str">
        <f>IF(C16=0,"-",C16)</f>
        <v>-</v>
      </c>
      <c r="M16" s="7" t="str">
        <f t="shared" si="3"/>
        <v>-</v>
      </c>
      <c r="N16" s="7" t="str">
        <f>_xlfn.IFNA(VLOOKUP(K16,Päästökertoimet!$W$89:$Y$94,2,FALSE),"-")</f>
        <v>-</v>
      </c>
      <c r="O16" s="7" t="str">
        <f>_xlfn.IFNA(VLOOKUP(K16,Päästökertoimet!$W$89:$Y$94,3,FALSE),"-")</f>
        <v>-</v>
      </c>
      <c r="P16" s="23">
        <f t="shared" si="4"/>
        <v>0</v>
      </c>
    </row>
    <row r="17" spans="2:16" x14ac:dyDescent="0.25">
      <c r="B17" s="16"/>
      <c r="C17" s="27"/>
      <c r="D17" s="27"/>
      <c r="E17" s="7" t="str">
        <f>_xlfn.IFNA(VLOOKUP(B17,Päästökertoimet!$W$78:$Y$83,2,FALSE),"-")</f>
        <v>-</v>
      </c>
      <c r="F17" s="7" t="str">
        <f>_xlfn.IFNA(VLOOKUP(B17,Päästökertoimet!$W$78:$Y$83,3,FALSE),"-")</f>
        <v>-</v>
      </c>
      <c r="G17" s="23">
        <f t="shared" ref="G17:G21" si="5">IFERROR(C17*F17,0)+IFERROR(D17*E17,0)</f>
        <v>0</v>
      </c>
      <c r="K17" s="105" t="str">
        <f t="shared" ref="K17:K18" si="6">IF(B17=0,"-",B17)</f>
        <v>-</v>
      </c>
      <c r="L17" s="7" t="str">
        <f t="shared" ref="L17:L18" si="7">IF(C17=0,"-",C17)</f>
        <v>-</v>
      </c>
      <c r="M17" s="7" t="str">
        <f t="shared" ref="M17:M18" si="8">IF(D17=0,"-",D17)</f>
        <v>-</v>
      </c>
      <c r="N17" s="7" t="str">
        <f>_xlfn.IFNA(VLOOKUP(K17,Päästökertoimet!$W$89:$Y$94,2,FALSE),"-")</f>
        <v>-</v>
      </c>
      <c r="O17" s="7" t="str">
        <f>_xlfn.IFNA(VLOOKUP(K17,Päästökertoimet!$W$89:$Y$94,3,FALSE),"-")</f>
        <v>-</v>
      </c>
      <c r="P17" s="23">
        <f t="shared" si="4"/>
        <v>0</v>
      </c>
    </row>
    <row r="18" spans="2:16" x14ac:dyDescent="0.25">
      <c r="B18" s="16"/>
      <c r="C18" s="27"/>
      <c r="D18" s="27"/>
      <c r="E18" s="7" t="str">
        <f>_xlfn.IFNA(VLOOKUP(B18,Päästökertoimet!$W$78:$Y$83,2,FALSE),"-")</f>
        <v>-</v>
      </c>
      <c r="F18" s="7" t="str">
        <f>_xlfn.IFNA(VLOOKUP(B18,Päästökertoimet!$W$78:$Y$83,3,FALSE),"-")</f>
        <v>-</v>
      </c>
      <c r="G18" s="23">
        <f t="shared" si="5"/>
        <v>0</v>
      </c>
      <c r="K18" s="105" t="str">
        <f t="shared" si="6"/>
        <v>-</v>
      </c>
      <c r="L18" s="7" t="str">
        <f t="shared" si="7"/>
        <v>-</v>
      </c>
      <c r="M18" s="7" t="str">
        <f t="shared" si="8"/>
        <v>-</v>
      </c>
      <c r="N18" s="7" t="str">
        <f>_xlfn.IFNA(VLOOKUP(K18,Päästökertoimet!$W$89:$Y$94,2,FALSE),"-")</f>
        <v>-</v>
      </c>
      <c r="O18" s="7" t="str">
        <f>_xlfn.IFNA(VLOOKUP(K18,Päästökertoimet!$W$89:$Y$94,3,FALSE),"-")</f>
        <v>-</v>
      </c>
      <c r="P18" s="23">
        <f t="shared" si="4"/>
        <v>0</v>
      </c>
    </row>
    <row r="19" spans="2:16" x14ac:dyDescent="0.25">
      <c r="B19" s="116"/>
      <c r="C19" s="113"/>
      <c r="D19" s="113"/>
      <c r="E19" s="113"/>
      <c r="F19" s="113"/>
      <c r="G19" s="23">
        <f>IFERROR(C19*F19,0)+IFERROR(D19*E19,0)</f>
        <v>0</v>
      </c>
      <c r="K19" s="116"/>
      <c r="L19" s="113"/>
      <c r="M19" s="113"/>
      <c r="N19" s="113"/>
      <c r="O19" s="113"/>
      <c r="P19" s="23">
        <f>IFERROR(L19*O19,0)+IFERROR(M19*N19,0)</f>
        <v>0</v>
      </c>
    </row>
    <row r="20" spans="2:16" x14ac:dyDescent="0.25">
      <c r="B20" s="116"/>
      <c r="C20" s="113"/>
      <c r="D20" s="113"/>
      <c r="E20" s="113"/>
      <c r="F20" s="113"/>
      <c r="G20" s="23">
        <f t="shared" si="5"/>
        <v>0</v>
      </c>
      <c r="K20" s="116"/>
      <c r="L20" s="113"/>
      <c r="M20" s="113"/>
      <c r="N20" s="113"/>
      <c r="O20" s="113"/>
      <c r="P20" s="23">
        <f t="shared" ref="P20:P21" si="9">IFERROR(L20*O20,0)+IFERROR(M20*N20,0)</f>
        <v>0</v>
      </c>
    </row>
    <row r="21" spans="2:16" ht="15.75" thickBot="1" x14ac:dyDescent="0.3">
      <c r="B21" s="117"/>
      <c r="C21" s="115"/>
      <c r="D21" s="115"/>
      <c r="E21" s="115"/>
      <c r="F21" s="115"/>
      <c r="G21" s="24">
        <f t="shared" si="5"/>
        <v>0</v>
      </c>
      <c r="K21" s="117"/>
      <c r="L21" s="115"/>
      <c r="M21" s="115"/>
      <c r="N21" s="115"/>
      <c r="O21" s="115"/>
      <c r="P21" s="24">
        <f t="shared" si="9"/>
        <v>0</v>
      </c>
    </row>
    <row r="26" spans="2:16" x14ac:dyDescent="0.25">
      <c r="K26" s="9"/>
      <c r="L26" s="9"/>
      <c r="M26" s="9"/>
    </row>
    <row r="27" spans="2:16" x14ac:dyDescent="0.25">
      <c r="K27" s="9"/>
      <c r="L27" s="9"/>
      <c r="M27" s="9"/>
    </row>
  </sheetData>
  <mergeCells count="8">
    <mergeCell ref="B7:G8"/>
    <mergeCell ref="K7:O8"/>
    <mergeCell ref="B2:G2"/>
    <mergeCell ref="K2:O2"/>
    <mergeCell ref="B3:G4"/>
    <mergeCell ref="K3:O4"/>
    <mergeCell ref="B6:G6"/>
    <mergeCell ref="K6:O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Päästökertoimet!$W$77:$W$83</xm:f>
          </x14:formula1>
          <xm:sqref>B10:B18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2:N30"/>
  <sheetViews>
    <sheetView zoomScaleNormal="100" workbookViewId="0">
      <selection activeCell="D49" sqref="D49"/>
    </sheetView>
  </sheetViews>
  <sheetFormatPr defaultColWidth="8.7109375" defaultRowHeight="15" x14ac:dyDescent="0.25"/>
  <cols>
    <col min="1" max="1" width="8.7109375" style="1"/>
    <col min="2" max="2" width="10.42578125" style="1" customWidth="1"/>
    <col min="3" max="3" width="29.42578125" style="2" bestFit="1" customWidth="1"/>
    <col min="4" max="4" width="23.7109375" style="2" bestFit="1" customWidth="1"/>
    <col min="5" max="5" width="22.42578125" style="2" bestFit="1" customWidth="1"/>
    <col min="6" max="6" width="20.28515625" style="2" customWidth="1"/>
    <col min="7" max="9" width="8.7109375" style="1"/>
    <col min="10" max="10" width="7.7109375" style="1" bestFit="1" customWidth="1"/>
    <col min="11" max="11" width="29.42578125" style="1" bestFit="1" customWidth="1"/>
    <col min="12" max="12" width="19.7109375" style="1" bestFit="1" customWidth="1"/>
    <col min="13" max="13" width="23.7109375" style="1" bestFit="1" customWidth="1"/>
    <col min="14" max="14" width="15.28515625" style="1" bestFit="1" customWidth="1"/>
    <col min="15" max="16384" width="8.7109375" style="1"/>
  </cols>
  <sheetData>
    <row r="2" spans="2:14" ht="15.75" x14ac:dyDescent="0.25">
      <c r="B2" s="136" t="s">
        <v>306</v>
      </c>
      <c r="C2" s="136"/>
      <c r="D2" s="136"/>
      <c r="E2" s="136"/>
      <c r="F2" s="136"/>
      <c r="J2" s="136" t="s">
        <v>306</v>
      </c>
      <c r="K2" s="136"/>
      <c r="L2" s="136"/>
      <c r="M2" s="136"/>
      <c r="N2" s="136"/>
    </row>
    <row r="3" spans="2:14" ht="15.6" customHeight="1" x14ac:dyDescent="0.25">
      <c r="B3" s="139" t="s">
        <v>305</v>
      </c>
      <c r="C3" s="139"/>
      <c r="D3" s="139"/>
      <c r="E3" s="139"/>
      <c r="F3" s="139"/>
      <c r="J3" s="139" t="s">
        <v>307</v>
      </c>
      <c r="K3" s="139"/>
      <c r="L3" s="139"/>
      <c r="M3" s="139"/>
      <c r="N3" s="139"/>
    </row>
    <row r="4" spans="2:14" x14ac:dyDescent="0.25">
      <c r="B4" s="139"/>
      <c r="C4" s="139"/>
      <c r="D4" s="139"/>
      <c r="E4" s="139"/>
      <c r="F4" s="139"/>
      <c r="J4" s="139"/>
      <c r="K4" s="139"/>
      <c r="L4" s="139"/>
      <c r="M4" s="139"/>
      <c r="N4" s="139"/>
    </row>
    <row r="5" spans="2:14" ht="15.75" x14ac:dyDescent="0.25">
      <c r="B5" s="45"/>
      <c r="C5" s="45"/>
      <c r="D5" s="45"/>
      <c r="E5" s="45"/>
      <c r="F5" s="45"/>
    </row>
    <row r="6" spans="2:14" ht="18.75" x14ac:dyDescent="0.3">
      <c r="B6" s="137" t="s">
        <v>304</v>
      </c>
      <c r="C6" s="137"/>
      <c r="D6" s="137"/>
      <c r="E6" s="137"/>
      <c r="F6" s="137"/>
      <c r="J6" s="137" t="s">
        <v>112</v>
      </c>
      <c r="K6" s="137"/>
      <c r="L6" s="137"/>
      <c r="M6" s="137"/>
      <c r="N6" s="137"/>
    </row>
    <row r="7" spans="2:14" x14ac:dyDescent="0.25">
      <c r="B7" s="137" t="s">
        <v>308</v>
      </c>
      <c r="C7" s="137"/>
      <c r="D7" s="137"/>
      <c r="E7" s="137"/>
      <c r="F7" s="137"/>
      <c r="J7" s="137" t="s">
        <v>308</v>
      </c>
      <c r="K7" s="137"/>
      <c r="L7" s="137"/>
      <c r="M7" s="137"/>
      <c r="N7" s="137"/>
    </row>
    <row r="8" spans="2:14" ht="15" customHeight="1" thickBot="1" x14ac:dyDescent="0.3">
      <c r="B8" s="138"/>
      <c r="C8" s="138"/>
      <c r="D8" s="138"/>
      <c r="E8" s="138"/>
      <c r="F8" s="138"/>
      <c r="J8" s="138"/>
      <c r="K8" s="138"/>
      <c r="L8" s="138"/>
      <c r="M8" s="138"/>
      <c r="N8" s="138"/>
    </row>
    <row r="9" spans="2:14" ht="18.75" thickBot="1" x14ac:dyDescent="0.4">
      <c r="B9" s="10" t="s">
        <v>110</v>
      </c>
      <c r="C9" s="10" t="s">
        <v>292</v>
      </c>
      <c r="D9" s="10" t="s">
        <v>293</v>
      </c>
      <c r="E9" s="10" t="s">
        <v>107</v>
      </c>
      <c r="F9" s="12" t="s">
        <v>60</v>
      </c>
      <c r="J9" s="10" t="s">
        <v>110</v>
      </c>
      <c r="K9" s="10" t="s">
        <v>292</v>
      </c>
      <c r="L9" s="25" t="s">
        <v>302</v>
      </c>
      <c r="M9" s="26" t="s">
        <v>58</v>
      </c>
      <c r="N9" s="12" t="s">
        <v>60</v>
      </c>
    </row>
    <row r="10" spans="2:14" x14ac:dyDescent="0.25">
      <c r="B10" s="14"/>
      <c r="C10" s="42"/>
      <c r="D10" s="34"/>
      <c r="E10" s="13" t="str">
        <f t="array" ref="E10">_xlfn.IFNA(INDEX(Päästökertoimet!$L$50:$L$69,MATCH(Polttoaineet!B10&amp;Polttoaineet!C10,Päästökertoimet!$J$50:$J$69&amp;Päästökertoimet!$K$50:$K$69,0)),"-")</f>
        <v>-</v>
      </c>
      <c r="F10" s="23">
        <f>IFERROR(D10*E10,0)</f>
        <v>0</v>
      </c>
      <c r="J10" s="40" t="str">
        <f>IF(B10=0,"-",B10)</f>
        <v>-</v>
      </c>
      <c r="K10" s="5" t="str">
        <f>IF(C10=0,"-",C10)</f>
        <v>-</v>
      </c>
      <c r="L10" s="5" t="str">
        <f t="shared" ref="J10:L13" si="0">IF(D10=0,"-",D10)</f>
        <v>-</v>
      </c>
      <c r="M10" s="41" t="str" cm="1">
        <f t="array" ref="M10">_xlfn.IFNA(INDEX(Päästökertoimet!$L$76:$L$95,MATCH(Polttoaineet!J10&amp;Polttoaineet!K10,Päästökertoimet!$J$76:$J$95&amp;Päästökertoimet!$K$76:$K$95,0)),"-")</f>
        <v>-</v>
      </c>
      <c r="N10" s="122">
        <f>IFERROR(M10*L10,0)</f>
        <v>0</v>
      </c>
    </row>
    <row r="11" spans="2:14" x14ac:dyDescent="0.25">
      <c r="B11" s="16"/>
      <c r="C11" s="43"/>
      <c r="D11" s="27"/>
      <c r="E11" s="7" t="str">
        <f t="array" ref="E11">_xlfn.IFNA(INDEX(Päästökertoimet!$L$50:$L$69,MATCH(Polttoaineet!B11&amp;Polttoaineet!C11,Päästökertoimet!$J$50:$J$69&amp;Päästökertoimet!$K$50:$K$69,0)),"-")</f>
        <v>-</v>
      </c>
      <c r="F11" s="23">
        <f t="shared" ref="F11:F18" si="1">IFERROR(D11*E11,0)</f>
        <v>0</v>
      </c>
      <c r="J11" s="40" t="str">
        <f t="shared" si="0"/>
        <v>-</v>
      </c>
      <c r="K11" s="5" t="str">
        <f t="shared" ref="K11:K14" si="2">IF(C11=0,"-",C11)</f>
        <v>-</v>
      </c>
      <c r="L11" s="5" t="str">
        <f t="shared" ref="L11:L14" si="3">IF(D11=0,"-",D11)</f>
        <v>-</v>
      </c>
      <c r="M11" s="41" t="str" cm="1">
        <f t="array" ref="M11">_xlfn.IFNA(INDEX(Päästökertoimet!$L$76:$L$95,MATCH(Polttoaineet!J11&amp;Polttoaineet!K11,Päästökertoimet!$J$76:$J$95&amp;Päästökertoimet!$K$76:$K$95,0)),"-")</f>
        <v>-</v>
      </c>
      <c r="N11" s="15">
        <f t="shared" ref="N11:N18" si="4">IFERROR(M11*L11,0)</f>
        <v>0</v>
      </c>
    </row>
    <row r="12" spans="2:14" x14ac:dyDescent="0.25">
      <c r="B12" s="16"/>
      <c r="C12" s="43"/>
      <c r="D12" s="27"/>
      <c r="E12" s="7" t="str">
        <f t="array" ref="E12">_xlfn.IFNA(INDEX(Päästökertoimet!$L$50:$L$69,MATCH(Polttoaineet!B12&amp;Polttoaineet!C12,Päästökertoimet!$J$50:$J$69&amp;Päästökertoimet!$K$50:$K$69,0)),"-")</f>
        <v>-</v>
      </c>
      <c r="F12" s="23">
        <f t="shared" si="1"/>
        <v>0</v>
      </c>
      <c r="J12" s="40" t="str">
        <f t="shared" si="0"/>
        <v>-</v>
      </c>
      <c r="K12" s="5" t="str">
        <f t="shared" si="2"/>
        <v>-</v>
      </c>
      <c r="L12" s="5" t="str">
        <f t="shared" si="3"/>
        <v>-</v>
      </c>
      <c r="M12" s="41" t="str" cm="1">
        <f t="array" ref="M12">_xlfn.IFNA(INDEX(Päästökertoimet!$L$76:$L$95,MATCH(Polttoaineet!J12&amp;Polttoaineet!K12,Päästökertoimet!$J$76:$J$95&amp;Päästökertoimet!$K$76:$K$95,0)),"-")</f>
        <v>-</v>
      </c>
      <c r="N12" s="15">
        <f t="shared" si="4"/>
        <v>0</v>
      </c>
    </row>
    <row r="13" spans="2:14" x14ac:dyDescent="0.25">
      <c r="B13" s="16"/>
      <c r="C13" s="43"/>
      <c r="D13" s="27"/>
      <c r="E13" s="7" t="str">
        <f t="array" ref="E13">_xlfn.IFNA(INDEX(Päästökertoimet!$L$50:$L$69,MATCH(Polttoaineet!B13&amp;Polttoaineet!C13,Päästökertoimet!$J$50:$J$69&amp;Päästökertoimet!$K$50:$K$69,0)),"-")</f>
        <v>-</v>
      </c>
      <c r="F13" s="23">
        <f t="shared" si="1"/>
        <v>0</v>
      </c>
      <c r="J13" s="40" t="str">
        <f t="shared" si="0"/>
        <v>-</v>
      </c>
      <c r="K13" s="5" t="str">
        <f t="shared" si="2"/>
        <v>-</v>
      </c>
      <c r="L13" s="5" t="str">
        <f t="shared" si="3"/>
        <v>-</v>
      </c>
      <c r="M13" s="41" t="str" cm="1">
        <f t="array" ref="M13">_xlfn.IFNA(INDEX(Päästökertoimet!$L$76:$L$95,MATCH(Polttoaineet!J13&amp;Polttoaineet!K13,Päästökertoimet!$J$76:$J$95&amp;Päästökertoimet!$K$76:$K$95,0)),"-")</f>
        <v>-</v>
      </c>
      <c r="N13" s="15">
        <f t="shared" si="4"/>
        <v>0</v>
      </c>
    </row>
    <row r="14" spans="2:14" x14ac:dyDescent="0.25">
      <c r="B14" s="16"/>
      <c r="C14" s="43"/>
      <c r="D14" s="27"/>
      <c r="E14" s="7" t="str">
        <f t="array" ref="E14">_xlfn.IFNA(INDEX(Päästökertoimet!$L$50:$L$69,MATCH(Polttoaineet!B14&amp;Polttoaineet!C14,Päästökertoimet!$J$50:$J$69&amp;Päästökertoimet!$K$50:$K$69,0)),"-")</f>
        <v>-</v>
      </c>
      <c r="F14" s="23">
        <f t="shared" si="1"/>
        <v>0</v>
      </c>
      <c r="J14" s="40" t="str">
        <f>IF(B14=0,"-",B14)</f>
        <v>-</v>
      </c>
      <c r="K14" s="5" t="str">
        <f t="shared" si="2"/>
        <v>-</v>
      </c>
      <c r="L14" s="5" t="str">
        <f t="shared" si="3"/>
        <v>-</v>
      </c>
      <c r="M14" s="41" t="str" cm="1">
        <f t="array" ref="M14">_xlfn.IFNA(INDEX(Päästökertoimet!$L$76:$L$95,MATCH(Polttoaineet!J14&amp;Polttoaineet!K14,Päästökertoimet!$J$76:$J$95&amp;Päästökertoimet!$K$76:$K$95,0)),"-")</f>
        <v>-</v>
      </c>
      <c r="N14" s="15">
        <f t="shared" si="4"/>
        <v>0</v>
      </c>
    </row>
    <row r="15" spans="2:14" x14ac:dyDescent="0.25">
      <c r="B15" s="16"/>
      <c r="C15" s="43"/>
      <c r="D15" s="27"/>
      <c r="E15" s="7" t="str">
        <f t="array" ref="E15">_xlfn.IFNA(INDEX(Päästökertoimet!$L$50:$L$69,MATCH(Polttoaineet!B15&amp;Polttoaineet!C15,Päästökertoimet!$J$50:$J$69&amp;Päästökertoimet!$K$50:$K$69,0)),"-")</f>
        <v>-</v>
      </c>
      <c r="F15" s="23">
        <f t="shared" ref="F15:F16" si="5">IFERROR(D15*E15,0)</f>
        <v>0</v>
      </c>
      <c r="J15" s="40" t="str">
        <f t="shared" ref="J15" si="6">IF(B15=0,"-",B15)</f>
        <v>-</v>
      </c>
      <c r="K15" s="5" t="str">
        <f t="shared" ref="K15:K16" si="7">IF(C15=0,"-",C15)</f>
        <v>-</v>
      </c>
      <c r="L15" s="5" t="str">
        <f t="shared" ref="L15:L16" si="8">IF(D15=0,"-",D15)</f>
        <v>-</v>
      </c>
      <c r="M15" s="41" t="str" cm="1">
        <f t="array" ref="M15">_xlfn.IFNA(INDEX(Päästökertoimet!$L$76:$L$95,MATCH(Polttoaineet!J15&amp;Polttoaineet!K15,Päästökertoimet!$J$76:$J$95&amp;Päästökertoimet!$K$76:$K$95,0)),"-")</f>
        <v>-</v>
      </c>
      <c r="N15" s="15">
        <f t="shared" ref="N15:N16" si="9">IFERROR(M15*L15,0)</f>
        <v>0</v>
      </c>
    </row>
    <row r="16" spans="2:14" x14ac:dyDescent="0.25">
      <c r="B16" s="16"/>
      <c r="C16" s="43"/>
      <c r="D16" s="27"/>
      <c r="E16" s="7" t="str">
        <f t="array" ref="E16">_xlfn.IFNA(INDEX(Päästökertoimet!$L$50:$L$69,MATCH(Polttoaineet!B16&amp;Polttoaineet!C16,Päästökertoimet!$J$50:$J$69&amp;Päästökertoimet!$K$50:$K$69,0)),"-")</f>
        <v>-</v>
      </c>
      <c r="F16" s="23">
        <f t="shared" si="5"/>
        <v>0</v>
      </c>
      <c r="J16" s="40" t="str">
        <f>IF(B16=0,"-",B16)</f>
        <v>-</v>
      </c>
      <c r="K16" s="5" t="str">
        <f t="shared" si="7"/>
        <v>-</v>
      </c>
      <c r="L16" s="5" t="str">
        <f t="shared" si="8"/>
        <v>-</v>
      </c>
      <c r="M16" s="41" t="str" cm="1">
        <f t="array" ref="M16">_xlfn.IFNA(INDEX(Päästökertoimet!$L$76:$L$95,MATCH(Polttoaineet!J16&amp;Polttoaineet!K16,Päästökertoimet!$J$76:$J$95&amp;Päästökertoimet!$K$76:$K$95,0)),"-")</f>
        <v>-</v>
      </c>
      <c r="N16" s="15">
        <f t="shared" si="9"/>
        <v>0</v>
      </c>
    </row>
    <row r="17" spans="2:14" x14ac:dyDescent="0.25">
      <c r="B17" s="112"/>
      <c r="C17" s="113"/>
      <c r="D17" s="113"/>
      <c r="E17" s="113"/>
      <c r="F17" s="23">
        <f t="shared" si="1"/>
        <v>0</v>
      </c>
      <c r="H17" s="9"/>
      <c r="J17" s="112"/>
      <c r="K17" s="113"/>
      <c r="L17" s="113"/>
      <c r="M17" s="119"/>
      <c r="N17" s="15">
        <f t="shared" si="4"/>
        <v>0</v>
      </c>
    </row>
    <row r="18" spans="2:14" ht="15.75" thickBot="1" x14ac:dyDescent="0.3">
      <c r="B18" s="114"/>
      <c r="C18" s="115"/>
      <c r="D18" s="115"/>
      <c r="E18" s="115"/>
      <c r="F18" s="24">
        <f t="shared" si="1"/>
        <v>0</v>
      </c>
      <c r="H18" s="9"/>
      <c r="J18" s="114"/>
      <c r="K18" s="115"/>
      <c r="L18" s="115"/>
      <c r="M18" s="120"/>
      <c r="N18" s="18">
        <f t="shared" si="4"/>
        <v>0</v>
      </c>
    </row>
    <row r="19" spans="2:14" ht="15" customHeight="1" x14ac:dyDescent="0.25">
      <c r="B19" s="5"/>
      <c r="C19" s="5"/>
      <c r="D19" s="5"/>
      <c r="E19" s="5"/>
      <c r="F19" s="37"/>
      <c r="H19" s="9"/>
      <c r="J19" s="5"/>
      <c r="K19" s="5"/>
      <c r="L19" s="5"/>
      <c r="M19" s="41"/>
      <c r="N19" s="37"/>
    </row>
    <row r="20" spans="2:14" ht="17.100000000000001" customHeight="1" x14ac:dyDescent="0.25">
      <c r="B20" s="137" t="s">
        <v>309</v>
      </c>
      <c r="C20" s="137"/>
      <c r="D20" s="137"/>
      <c r="E20" s="137"/>
      <c r="F20" s="137"/>
      <c r="H20" s="9"/>
      <c r="J20" s="137" t="s">
        <v>309</v>
      </c>
      <c r="K20" s="137"/>
      <c r="L20" s="137"/>
      <c r="M20" s="137"/>
      <c r="N20" s="137"/>
    </row>
    <row r="21" spans="2:14" ht="15.75" thickBot="1" x14ac:dyDescent="0.3">
      <c r="B21" s="137"/>
      <c r="C21" s="137"/>
      <c r="D21" s="137"/>
      <c r="E21" s="137"/>
      <c r="F21" s="137"/>
      <c r="H21" s="9"/>
      <c r="J21" s="137"/>
      <c r="K21" s="137"/>
      <c r="L21" s="137"/>
      <c r="M21" s="137"/>
      <c r="N21" s="137"/>
    </row>
    <row r="22" spans="2:14" ht="18.75" thickBot="1" x14ac:dyDescent="0.4">
      <c r="B22" s="9"/>
      <c r="C22" s="10" t="s">
        <v>300</v>
      </c>
      <c r="D22" s="10" t="s">
        <v>301</v>
      </c>
      <c r="E22" s="10" t="s">
        <v>107</v>
      </c>
      <c r="F22" s="10" t="s">
        <v>60</v>
      </c>
      <c r="H22" s="9"/>
      <c r="K22" s="10" t="s">
        <v>292</v>
      </c>
      <c r="L22" s="25" t="s">
        <v>302</v>
      </c>
      <c r="M22" s="118" t="s">
        <v>58</v>
      </c>
      <c r="N22" s="121" t="s">
        <v>60</v>
      </c>
    </row>
    <row r="23" spans="2:14" x14ac:dyDescent="0.25">
      <c r="C23" s="14"/>
      <c r="D23" s="34"/>
      <c r="E23" s="13" t="str">
        <f>_xlfn.IFNA(VLOOKUP(C23,Päästökertoimet!$N$57:$O$62,2,FALSE),"-")</f>
        <v>-</v>
      </c>
      <c r="F23" s="23">
        <f t="shared" ref="F23:F26" si="10">IFERROR(D23*E23,0)</f>
        <v>0</v>
      </c>
      <c r="K23" s="40" t="str">
        <f t="shared" ref="K23:L26" si="11">IF(C23=0,"-",C23)</f>
        <v>-</v>
      </c>
      <c r="L23" s="5" t="str">
        <f t="shared" si="11"/>
        <v>-</v>
      </c>
      <c r="M23" s="5" t="str">
        <f>_xlfn.IFNA(VLOOKUP(K23,Päästökertoimet!$N$65:$O$70,2,FALSE),"-")</f>
        <v>-</v>
      </c>
      <c r="N23" s="15">
        <f>IFERROR(L23*M23,0)</f>
        <v>0</v>
      </c>
    </row>
    <row r="24" spans="2:14" x14ac:dyDescent="0.25">
      <c r="C24" s="16"/>
      <c r="D24" s="27"/>
      <c r="E24" s="7" t="str">
        <f>_xlfn.IFNA(VLOOKUP(C24,Päästökertoimet!$N$57:$O$62,2,FALSE),"-")</f>
        <v>-</v>
      </c>
      <c r="F24" s="23">
        <f t="shared" si="10"/>
        <v>0</v>
      </c>
      <c r="K24" s="40" t="str">
        <f t="shared" si="11"/>
        <v>-</v>
      </c>
      <c r="L24" s="5" t="str">
        <f t="shared" si="11"/>
        <v>-</v>
      </c>
      <c r="M24" s="5" t="str">
        <f>_xlfn.IFNA(VLOOKUP(K24,Päästökertoimet!$N$65:$O$70,2,FALSE),"-")</f>
        <v>-</v>
      </c>
      <c r="N24" s="15">
        <f t="shared" ref="N24:N26" si="12">IFERROR(L24*M24,0)</f>
        <v>0</v>
      </c>
    </row>
    <row r="25" spans="2:14" x14ac:dyDescent="0.25">
      <c r="C25" s="16"/>
      <c r="D25" s="27"/>
      <c r="E25" s="7" t="str">
        <f>_xlfn.IFNA(VLOOKUP(C25,Päästökertoimet!$N$57:$O$62,2,FALSE),"-")</f>
        <v>-</v>
      </c>
      <c r="F25" s="23">
        <f t="shared" si="10"/>
        <v>0</v>
      </c>
      <c r="K25" s="40" t="str">
        <f t="shared" si="11"/>
        <v>-</v>
      </c>
      <c r="L25" s="5" t="str">
        <f t="shared" si="11"/>
        <v>-</v>
      </c>
      <c r="M25" s="5" t="str">
        <f>_xlfn.IFNA(VLOOKUP(K25,Päästökertoimet!$N$65:$O$70,2,FALSE),"-")</f>
        <v>-</v>
      </c>
      <c r="N25" s="15">
        <f t="shared" si="12"/>
        <v>0</v>
      </c>
    </row>
    <row r="26" spans="2:14" x14ac:dyDescent="0.25">
      <c r="C26" s="16"/>
      <c r="D26" s="27"/>
      <c r="E26" s="7" t="str">
        <f>_xlfn.IFNA(VLOOKUP(C26,Päästökertoimet!$N$57:$O$62,2,FALSE),"-")</f>
        <v>-</v>
      </c>
      <c r="F26" s="23">
        <f t="shared" si="10"/>
        <v>0</v>
      </c>
      <c r="K26" s="40" t="str">
        <f t="shared" si="11"/>
        <v>-</v>
      </c>
      <c r="L26" s="5" t="str">
        <f t="shared" si="11"/>
        <v>-</v>
      </c>
      <c r="M26" s="5" t="str">
        <f>_xlfn.IFNA(VLOOKUP(K26,Päästökertoimet!$N$65:$O$70,2,FALSE),"-")</f>
        <v>-</v>
      </c>
      <c r="N26" s="15">
        <f t="shared" si="12"/>
        <v>0</v>
      </c>
    </row>
    <row r="27" spans="2:14" x14ac:dyDescent="0.25">
      <c r="C27" s="16"/>
      <c r="D27" s="27"/>
      <c r="E27" s="7" t="str">
        <f>_xlfn.IFNA(VLOOKUP(C27,Päästökertoimet!$N$57:$O$62,2,FALSE),"-")</f>
        <v>-</v>
      </c>
      <c r="F27" s="23">
        <f t="shared" ref="F27:F30" si="13">IFERROR(D27*E27,0)</f>
        <v>0</v>
      </c>
      <c r="K27" s="40" t="str">
        <f t="shared" ref="K27:K28" si="14">IF(C27=0,"-",C27)</f>
        <v>-</v>
      </c>
      <c r="L27" s="5" t="str">
        <f t="shared" ref="L27:L28" si="15">IF(D27=0,"-",D27)</f>
        <v>-</v>
      </c>
      <c r="M27" s="5" t="str">
        <f>_xlfn.IFNA(VLOOKUP(K27,Päästökertoimet!$N$65:$O$70,2,FALSE),"-")</f>
        <v>-</v>
      </c>
      <c r="N27" s="15">
        <f t="shared" ref="N27:N30" si="16">IFERROR(L27*M27,0)</f>
        <v>0</v>
      </c>
    </row>
    <row r="28" spans="2:14" x14ac:dyDescent="0.25">
      <c r="C28" s="16"/>
      <c r="D28" s="27"/>
      <c r="E28" s="7" t="str">
        <f>_xlfn.IFNA(VLOOKUP(C28,Päästökertoimet!$N$57:$O$62,2,FALSE),"-")</f>
        <v>-</v>
      </c>
      <c r="F28" s="23">
        <f t="shared" si="13"/>
        <v>0</v>
      </c>
      <c r="K28" s="40" t="str">
        <f t="shared" si="14"/>
        <v>-</v>
      </c>
      <c r="L28" s="5" t="str">
        <f t="shared" si="15"/>
        <v>-</v>
      </c>
      <c r="M28" s="5" t="str">
        <f>_xlfn.IFNA(VLOOKUP(K28,Päästökertoimet!$N$65:$O$70,2,FALSE),"-")</f>
        <v>-</v>
      </c>
      <c r="N28" s="15">
        <f t="shared" si="16"/>
        <v>0</v>
      </c>
    </row>
    <row r="29" spans="2:14" x14ac:dyDescent="0.25">
      <c r="C29" s="112"/>
      <c r="D29" s="113"/>
      <c r="E29" s="113"/>
      <c r="F29" s="23">
        <f t="shared" si="13"/>
        <v>0</v>
      </c>
      <c r="K29" s="112"/>
      <c r="L29" s="113"/>
      <c r="M29" s="119"/>
      <c r="N29" s="15">
        <f t="shared" si="16"/>
        <v>0</v>
      </c>
    </row>
    <row r="30" spans="2:14" ht="15.75" thickBot="1" x14ac:dyDescent="0.3">
      <c r="C30" s="114"/>
      <c r="D30" s="115"/>
      <c r="E30" s="115"/>
      <c r="F30" s="24">
        <f t="shared" si="13"/>
        <v>0</v>
      </c>
      <c r="K30" s="114"/>
      <c r="L30" s="115"/>
      <c r="M30" s="120"/>
      <c r="N30" s="18">
        <f t="shared" si="16"/>
        <v>0</v>
      </c>
    </row>
  </sheetData>
  <mergeCells count="10">
    <mergeCell ref="B2:F2"/>
    <mergeCell ref="B3:F4"/>
    <mergeCell ref="J2:N2"/>
    <mergeCell ref="J3:N4"/>
    <mergeCell ref="B7:F8"/>
    <mergeCell ref="B20:F21"/>
    <mergeCell ref="J7:N8"/>
    <mergeCell ref="J20:N21"/>
    <mergeCell ref="J6:N6"/>
    <mergeCell ref="B6:F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00000000-0002-0000-0300-000000000000}">
          <x14:formula1>
            <xm:f>Päästökertoimet!$J$49:$J$53</xm:f>
          </x14:formula1>
          <xm:sqref>B10:B16 B19</xm:sqref>
        </x14:dataValidation>
        <x14:dataValidation type="list" showInputMessage="1" showErrorMessage="1" xr:uid="{00000000-0002-0000-0300-000001000000}">
          <x14:formula1>
            <xm:f>Päästökertoimet!$N$49:$N$54</xm:f>
          </x14:formula1>
          <xm:sqref>C10:C16 C19</xm:sqref>
        </x14:dataValidation>
        <x14:dataValidation type="list" showInputMessage="1" showErrorMessage="1" xr:uid="{00000000-0002-0000-0300-000002000000}">
          <x14:formula1>
            <xm:f>Päästökertoimet!$N$56:$N$62</xm:f>
          </x14:formula1>
          <xm:sqref>C23:C28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H20"/>
  <sheetViews>
    <sheetView workbookViewId="0"/>
  </sheetViews>
  <sheetFormatPr defaultColWidth="9.140625" defaultRowHeight="15" x14ac:dyDescent="0.25"/>
  <cols>
    <col min="1" max="1" width="9.140625" style="1"/>
    <col min="2" max="2" width="47.5703125" style="1" customWidth="1"/>
    <col min="3" max="3" width="22.28515625" style="1" customWidth="1"/>
    <col min="4" max="4" width="28.7109375" style="1" customWidth="1"/>
    <col min="5" max="5" width="24.5703125" style="1" bestFit="1" customWidth="1"/>
    <col min="6" max="6" width="15.28515625" style="1" bestFit="1" customWidth="1"/>
    <col min="7" max="16384" width="9.140625" style="1"/>
  </cols>
  <sheetData>
    <row r="1" spans="2:8" ht="15.75" x14ac:dyDescent="0.25">
      <c r="B1" s="136" t="s">
        <v>306</v>
      </c>
      <c r="C1" s="136"/>
      <c r="D1" s="136"/>
      <c r="E1" s="136"/>
      <c r="F1" s="136"/>
      <c r="H1" s="9"/>
    </row>
    <row r="2" spans="2:8" x14ac:dyDescent="0.25">
      <c r="B2" s="135" t="s">
        <v>516</v>
      </c>
      <c r="C2" s="135"/>
      <c r="D2" s="135"/>
      <c r="E2" s="135"/>
      <c r="F2" s="135"/>
      <c r="H2" s="9"/>
    </row>
    <row r="3" spans="2:8" x14ac:dyDescent="0.25">
      <c r="B3" s="135"/>
      <c r="C3" s="135"/>
      <c r="D3" s="135"/>
      <c r="E3" s="135"/>
      <c r="F3" s="135"/>
      <c r="H3" s="9"/>
    </row>
    <row r="4" spans="2:8" x14ac:dyDescent="0.25">
      <c r="B4" s="2"/>
      <c r="C4" s="2"/>
      <c r="D4" s="2"/>
      <c r="E4" s="2"/>
      <c r="H4" s="9"/>
    </row>
    <row r="5" spans="2:8" ht="18.75" x14ac:dyDescent="0.3">
      <c r="B5" s="140" t="s">
        <v>63</v>
      </c>
      <c r="C5" s="140"/>
      <c r="D5" s="140"/>
      <c r="E5" s="140"/>
      <c r="F5" s="140"/>
      <c r="H5" s="9"/>
    </row>
    <row r="6" spans="2:8" ht="18.75" x14ac:dyDescent="0.3">
      <c r="B6" s="65"/>
      <c r="C6" s="65"/>
      <c r="D6" s="65"/>
      <c r="E6" s="65"/>
      <c r="F6" s="65"/>
      <c r="H6" s="9"/>
    </row>
    <row r="7" spans="2:8" ht="16.5" thickBot="1" x14ac:dyDescent="0.3">
      <c r="B7" s="141" t="s">
        <v>515</v>
      </c>
      <c r="C7" s="141"/>
      <c r="D7" s="141"/>
      <c r="E7" s="141"/>
      <c r="F7" s="141"/>
      <c r="H7" s="9"/>
    </row>
    <row r="8" spans="2:8" ht="18.75" thickBot="1" x14ac:dyDescent="0.4">
      <c r="B8" s="10" t="s">
        <v>513</v>
      </c>
      <c r="C8" s="10" t="s">
        <v>514</v>
      </c>
      <c r="D8" s="10" t="s">
        <v>58</v>
      </c>
      <c r="E8" s="10" t="s">
        <v>60</v>
      </c>
      <c r="F8" s="9"/>
      <c r="G8" s="9"/>
    </row>
    <row r="9" spans="2:8" x14ac:dyDescent="0.25">
      <c r="B9" s="14"/>
      <c r="C9" s="34"/>
      <c r="D9" s="102" t="str">
        <f>_xlfn.IFNA(VLOOKUP(B9,Päästökertoimet!$W$43:$X$72,2,FALSE),"-")</f>
        <v>-</v>
      </c>
      <c r="E9" s="23">
        <f>IF(C9&gt;0,D9*C9,0)</f>
        <v>0</v>
      </c>
      <c r="G9" s="9"/>
    </row>
    <row r="10" spans="2:8" x14ac:dyDescent="0.25">
      <c r="B10" s="16"/>
      <c r="C10" s="27"/>
      <c r="D10" s="102" t="str">
        <f>_xlfn.IFNA(VLOOKUP(B10,Päästökertoimet!$W$43:$X$72,2,FALSE),"-")</f>
        <v>-</v>
      </c>
      <c r="E10" s="23">
        <f t="shared" ref="E10:E18" si="0">IF(C10&gt;0,D10*C10,0)</f>
        <v>0</v>
      </c>
      <c r="G10" s="9"/>
    </row>
    <row r="11" spans="2:8" x14ac:dyDescent="0.25">
      <c r="B11" s="16"/>
      <c r="C11" s="27"/>
      <c r="D11" s="102" t="str">
        <f>_xlfn.IFNA(VLOOKUP(B11,Päästökertoimet!$W$43:$X$72,2,FALSE),"-")</f>
        <v>-</v>
      </c>
      <c r="E11" s="23">
        <f t="shared" si="0"/>
        <v>0</v>
      </c>
      <c r="G11" s="9"/>
    </row>
    <row r="12" spans="2:8" x14ac:dyDescent="0.25">
      <c r="B12" s="16"/>
      <c r="C12" s="27"/>
      <c r="D12" s="102" t="str">
        <f>_xlfn.IFNA(VLOOKUP(B12,Päästökertoimet!$W$43:$X$72,2,FALSE),"-")</f>
        <v>-</v>
      </c>
      <c r="E12" s="23">
        <f t="shared" si="0"/>
        <v>0</v>
      </c>
      <c r="G12" s="9"/>
    </row>
    <row r="13" spans="2:8" x14ac:dyDescent="0.25">
      <c r="B13" s="16"/>
      <c r="C13" s="27"/>
      <c r="D13" s="102" t="str">
        <f>_xlfn.IFNA(VLOOKUP(B13,Päästökertoimet!$W$43:$X$72,2,FALSE),"-")</f>
        <v>-</v>
      </c>
      <c r="E13" s="23">
        <f t="shared" si="0"/>
        <v>0</v>
      </c>
      <c r="G13" s="9"/>
    </row>
    <row r="14" spans="2:8" x14ac:dyDescent="0.25">
      <c r="B14" s="16"/>
      <c r="C14" s="27"/>
      <c r="D14" s="102" t="str">
        <f>_xlfn.IFNA(VLOOKUP(B14,Päästökertoimet!$W$43:$X$72,2,FALSE),"-")</f>
        <v>-</v>
      </c>
      <c r="E14" s="23">
        <f t="shared" si="0"/>
        <v>0</v>
      </c>
      <c r="G14" s="9"/>
    </row>
    <row r="15" spans="2:8" x14ac:dyDescent="0.25">
      <c r="B15" s="16"/>
      <c r="C15" s="27"/>
      <c r="D15" s="102" t="str">
        <f>_xlfn.IFNA(VLOOKUP(B15,Päästökertoimet!$W$43:$X$72,2,FALSE),"-")</f>
        <v>-</v>
      </c>
      <c r="E15" s="23">
        <f t="shared" si="0"/>
        <v>0</v>
      </c>
      <c r="G15" s="9"/>
    </row>
    <row r="16" spans="2:8" x14ac:dyDescent="0.25">
      <c r="B16" s="16"/>
      <c r="C16" s="27"/>
      <c r="D16" s="102" t="str">
        <f>_xlfn.IFNA(VLOOKUP(B16,Päästökertoimet!$W$43:$X$72,2,FALSE),"-")</f>
        <v>-</v>
      </c>
      <c r="E16" s="23">
        <f t="shared" si="0"/>
        <v>0</v>
      </c>
      <c r="G16" s="9"/>
    </row>
    <row r="17" spans="2:8" x14ac:dyDescent="0.25">
      <c r="B17" s="112"/>
      <c r="C17" s="113"/>
      <c r="D17" s="113"/>
      <c r="E17" s="23">
        <f t="shared" si="0"/>
        <v>0</v>
      </c>
      <c r="G17" s="9"/>
    </row>
    <row r="18" spans="2:8" ht="15.75" thickBot="1" x14ac:dyDescent="0.3">
      <c r="B18" s="114"/>
      <c r="C18" s="115"/>
      <c r="D18" s="115"/>
      <c r="E18" s="24">
        <f t="shared" si="0"/>
        <v>0</v>
      </c>
      <c r="G18" s="9"/>
    </row>
    <row r="19" spans="2:8" x14ac:dyDescent="0.25">
      <c r="B19" s="2"/>
      <c r="C19" s="2"/>
      <c r="D19" s="2"/>
      <c r="E19" s="2"/>
      <c r="H19" s="9"/>
    </row>
    <row r="20" spans="2:8" x14ac:dyDescent="0.25">
      <c r="H20" s="9"/>
    </row>
  </sheetData>
  <mergeCells count="4">
    <mergeCell ref="B1:F1"/>
    <mergeCell ref="B2:F3"/>
    <mergeCell ref="B5:F5"/>
    <mergeCell ref="B7:F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Päästökertoimet!$W$43:$W$72</xm:f>
          </x14:formula1>
          <xm:sqref>B9:B16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2">
    <tabColor theme="7" tint="0.39997558519241921"/>
  </sheetPr>
  <dimension ref="B2:N46"/>
  <sheetViews>
    <sheetView zoomScaleNormal="100" workbookViewId="0"/>
  </sheetViews>
  <sheetFormatPr defaultColWidth="9.28515625" defaultRowHeight="15" x14ac:dyDescent="0.25"/>
  <cols>
    <col min="1" max="1" width="9.28515625" style="1"/>
    <col min="2" max="2" width="20" style="2" customWidth="1"/>
    <col min="3" max="3" width="28.42578125" style="2" bestFit="1" customWidth="1"/>
    <col min="4" max="4" width="26.140625" style="2" bestFit="1" customWidth="1"/>
    <col min="5" max="5" width="15.28515625" style="2" bestFit="1" customWidth="1"/>
    <col min="6" max="8" width="9.28515625" style="1"/>
    <col min="9" max="9" width="19.140625" style="1" bestFit="1" customWidth="1"/>
    <col min="10" max="10" width="32.42578125" style="1" bestFit="1" customWidth="1"/>
    <col min="11" max="11" width="26.140625" style="1" bestFit="1" customWidth="1"/>
    <col min="12" max="12" width="18.5703125" style="1" customWidth="1"/>
    <col min="13" max="14" width="9.28515625" style="1"/>
    <col min="15" max="15" width="7.7109375" style="1" customWidth="1"/>
    <col min="16" max="16384" width="9.28515625" style="1"/>
  </cols>
  <sheetData>
    <row r="2" spans="2:14" ht="15.75" x14ac:dyDescent="0.25">
      <c r="B2" s="133" t="s">
        <v>306</v>
      </c>
      <c r="C2" s="133"/>
      <c r="D2" s="133"/>
      <c r="E2" s="133"/>
      <c r="F2" s="54"/>
      <c r="G2" s="9"/>
      <c r="I2" s="136" t="s">
        <v>306</v>
      </c>
      <c r="J2" s="136"/>
      <c r="K2" s="136"/>
      <c r="L2" s="136"/>
      <c r="M2" s="47"/>
      <c r="N2" s="47"/>
    </row>
    <row r="3" spans="2:14" ht="14.65" customHeight="1" x14ac:dyDescent="0.25">
      <c r="B3" s="144" t="s">
        <v>550</v>
      </c>
      <c r="C3" s="144"/>
      <c r="D3" s="144"/>
      <c r="E3" s="144"/>
      <c r="F3" s="48"/>
      <c r="G3" s="9"/>
      <c r="I3" s="135" t="s">
        <v>307</v>
      </c>
      <c r="J3" s="135"/>
      <c r="K3" s="135"/>
      <c r="L3" s="135"/>
      <c r="M3" s="46"/>
      <c r="N3" s="46"/>
    </row>
    <row r="4" spans="2:14" ht="14.65" customHeight="1" x14ac:dyDescent="0.25">
      <c r="B4" s="144"/>
      <c r="C4" s="144"/>
      <c r="D4" s="144"/>
      <c r="E4" s="144"/>
      <c r="F4" s="48"/>
      <c r="G4" s="9"/>
      <c r="I4" s="135"/>
      <c r="J4" s="135"/>
      <c r="K4" s="135"/>
      <c r="L4" s="135"/>
      <c r="M4" s="46"/>
      <c r="N4" s="46"/>
    </row>
    <row r="5" spans="2:14" ht="15.75" x14ac:dyDescent="0.25">
      <c r="B5" s="144"/>
      <c r="C5" s="144"/>
      <c r="D5" s="144"/>
      <c r="E5" s="144"/>
      <c r="F5" s="45"/>
      <c r="I5" s="135"/>
      <c r="J5" s="135"/>
      <c r="K5" s="135"/>
      <c r="L5" s="135"/>
    </row>
    <row r="6" spans="2:14" ht="15.75" x14ac:dyDescent="0.25">
      <c r="B6" s="144"/>
      <c r="C6" s="144"/>
      <c r="D6" s="144"/>
      <c r="E6" s="144"/>
      <c r="F6" s="69"/>
      <c r="I6" s="135"/>
      <c r="J6" s="135"/>
      <c r="K6" s="135"/>
      <c r="L6" s="135"/>
    </row>
    <row r="7" spans="2:14" ht="15.75" x14ac:dyDescent="0.25">
      <c r="B7" s="144"/>
      <c r="C7" s="144"/>
      <c r="D7" s="144"/>
      <c r="E7" s="144"/>
      <c r="F7" s="45"/>
    </row>
    <row r="8" spans="2:14" ht="14.65" customHeight="1" x14ac:dyDescent="0.3">
      <c r="B8" s="137" t="s">
        <v>548</v>
      </c>
      <c r="C8" s="137"/>
      <c r="D8" s="137"/>
      <c r="E8" s="137"/>
      <c r="I8" s="137" t="s">
        <v>112</v>
      </c>
      <c r="J8" s="137"/>
      <c r="K8" s="137"/>
      <c r="L8" s="137"/>
    </row>
    <row r="10" spans="2:14" ht="16.5" thickBot="1" x14ac:dyDescent="0.3">
      <c r="B10" s="142" t="s">
        <v>113</v>
      </c>
      <c r="C10" s="142"/>
      <c r="D10" s="142"/>
      <c r="E10" s="142"/>
    </row>
    <row r="11" spans="2:14" ht="18.75" thickBot="1" x14ac:dyDescent="0.4">
      <c r="B11" s="10" t="s">
        <v>110</v>
      </c>
      <c r="C11" s="10" t="s">
        <v>111</v>
      </c>
      <c r="D11" s="10" t="s">
        <v>542</v>
      </c>
      <c r="E11" s="10" t="s">
        <v>60</v>
      </c>
      <c r="I11" s="10" t="s">
        <v>110</v>
      </c>
      <c r="J11" s="25" t="s">
        <v>111</v>
      </c>
      <c r="K11" s="10" t="s">
        <v>542</v>
      </c>
      <c r="L11" s="12" t="s">
        <v>60</v>
      </c>
      <c r="M11" s="9"/>
    </row>
    <row r="12" spans="2:14" x14ac:dyDescent="0.25">
      <c r="B12" s="14"/>
      <c r="C12" s="34"/>
      <c r="D12" s="13" t="str">
        <f>_xlfn.IFNA(VLOOKUP(B12,Päästökertoimet!$E$2:$F$6,2,FALSE),"-")</f>
        <v>-</v>
      </c>
      <c r="E12" s="23">
        <f>IF(C12&gt;0,D12*C12,0)</f>
        <v>0</v>
      </c>
      <c r="I12" s="40" t="str">
        <f>IF(B12=0,"-",B12)</f>
        <v>-</v>
      </c>
      <c r="J12" s="13">
        <f>C12</f>
        <v>0</v>
      </c>
      <c r="K12" s="95" t="str">
        <f>_xlfn.IFNA(VLOOKUP(I12,Päästökertoimet!$E$22:$F$35,2,FALSE),"-")</f>
        <v>-</v>
      </c>
      <c r="L12" s="23">
        <f>IF(J12&gt;0,K12*J12,0)</f>
        <v>0</v>
      </c>
      <c r="M12" s="9"/>
    </row>
    <row r="13" spans="2:14" x14ac:dyDescent="0.25">
      <c r="B13" s="16"/>
      <c r="C13" s="27"/>
      <c r="D13" s="7" t="str">
        <f>_xlfn.IFNA(VLOOKUP(B13,Päästökertoimet!$E$2:$F$6,2,FALSE),"-")</f>
        <v>-</v>
      </c>
      <c r="E13" s="23">
        <f t="shared" ref="E13:E20" si="0">IF(C13&gt;0,D13*C13,0)</f>
        <v>0</v>
      </c>
      <c r="I13" s="40" t="str">
        <f t="shared" ref="I13:I18" si="1">IF(B13=0,"-",B13)</f>
        <v>-</v>
      </c>
      <c r="J13" s="7">
        <f t="shared" ref="J13:J18" si="2">C13</f>
        <v>0</v>
      </c>
      <c r="K13" s="6" t="str">
        <f>_xlfn.IFNA(VLOOKUP(I13,Päästökertoimet!$E$22:$F$35,2,FALSE),"-")</f>
        <v>-</v>
      </c>
      <c r="L13" s="23">
        <f>IF(J13&gt;0,K13*J13,0)</f>
        <v>0</v>
      </c>
      <c r="M13" s="9"/>
    </row>
    <row r="14" spans="2:14" x14ac:dyDescent="0.25">
      <c r="B14" s="16"/>
      <c r="C14" s="27"/>
      <c r="D14" s="7" t="str">
        <f>_xlfn.IFNA(VLOOKUP(B14,Päästökertoimet!$E$2:$F$6,2,FALSE),"-")</f>
        <v>-</v>
      </c>
      <c r="E14" s="23">
        <f t="shared" si="0"/>
        <v>0</v>
      </c>
      <c r="I14" s="40" t="str">
        <f t="shared" si="1"/>
        <v>-</v>
      </c>
      <c r="J14" s="7">
        <f t="shared" si="2"/>
        <v>0</v>
      </c>
      <c r="K14" s="6" t="str">
        <f>_xlfn.IFNA(VLOOKUP(I14,Päästökertoimet!$E$22:$F$35,2,FALSE),"-")</f>
        <v>-</v>
      </c>
      <c r="L14" s="23">
        <f>IF(J14&gt;0,K14*J14,0)</f>
        <v>0</v>
      </c>
      <c r="M14" s="9"/>
    </row>
    <row r="15" spans="2:14" x14ac:dyDescent="0.25">
      <c r="B15" s="16"/>
      <c r="C15" s="27"/>
      <c r="D15" s="7" t="str">
        <f>_xlfn.IFNA(VLOOKUP(B15,Päästökertoimet!$E$2:$F$6,2,FALSE),"-")</f>
        <v>-</v>
      </c>
      <c r="E15" s="23">
        <f t="shared" si="0"/>
        <v>0</v>
      </c>
      <c r="I15" s="40" t="str">
        <f t="shared" si="1"/>
        <v>-</v>
      </c>
      <c r="J15" s="7">
        <f t="shared" si="2"/>
        <v>0</v>
      </c>
      <c r="K15" s="6" t="str">
        <f>_xlfn.IFNA(VLOOKUP(I15,Päästökertoimet!$E$22:$F$35,2,FALSE),"-")</f>
        <v>-</v>
      </c>
      <c r="L15" s="23">
        <f>IF(J15&gt;0,K15*J15,0)</f>
        <v>0</v>
      </c>
      <c r="M15" s="9"/>
    </row>
    <row r="16" spans="2:14" x14ac:dyDescent="0.25">
      <c r="B16" s="16"/>
      <c r="C16" s="27"/>
      <c r="D16" s="7" t="str">
        <f>_xlfn.IFNA(VLOOKUP(B16,Päästökertoimet!$E$2:$F$6,2,FALSE),"-")</f>
        <v>-</v>
      </c>
      <c r="E16" s="23">
        <f t="shared" si="0"/>
        <v>0</v>
      </c>
      <c r="I16" s="40" t="str">
        <f t="shared" si="1"/>
        <v>-</v>
      </c>
      <c r="J16" s="7">
        <f t="shared" si="2"/>
        <v>0</v>
      </c>
      <c r="K16" s="6" t="str">
        <f>_xlfn.IFNA(VLOOKUP(I16,Päästökertoimet!$E$22:$F$35,2,FALSE),"-")</f>
        <v>-</v>
      </c>
      <c r="L16" s="23">
        <f>IF(J16&gt;0,K16*J16,0)</f>
        <v>0</v>
      </c>
      <c r="M16" s="9"/>
    </row>
    <row r="17" spans="2:13" x14ac:dyDescent="0.25">
      <c r="B17" s="16"/>
      <c r="C17" s="27"/>
      <c r="D17" s="7" t="str">
        <f>_xlfn.IFNA(VLOOKUP(B17,Päästökertoimet!$E$2:$F$6,2,FALSE),"-")</f>
        <v>-</v>
      </c>
      <c r="E17" s="23">
        <f t="shared" si="0"/>
        <v>0</v>
      </c>
      <c r="I17" s="40" t="str">
        <f t="shared" si="1"/>
        <v>-</v>
      </c>
      <c r="J17" s="7">
        <f t="shared" si="2"/>
        <v>0</v>
      </c>
      <c r="K17" s="6" t="str">
        <f>_xlfn.IFNA(VLOOKUP(I17,Päästökertoimet!$E$22:$F$35,2,FALSE),"-")</f>
        <v>-</v>
      </c>
      <c r="L17" s="23">
        <f t="shared" ref="L17:L20" si="3">IF(J17&gt;0,K17*J17,0)</f>
        <v>0</v>
      </c>
      <c r="M17" s="9"/>
    </row>
    <row r="18" spans="2:13" x14ac:dyDescent="0.25">
      <c r="B18" s="16"/>
      <c r="C18" s="27"/>
      <c r="D18" s="7" t="str">
        <f>_xlfn.IFNA(VLOOKUP(B18,Päästökertoimet!$E$2:$F$6,2,FALSE),"-")</f>
        <v>-</v>
      </c>
      <c r="E18" s="23">
        <f t="shared" si="0"/>
        <v>0</v>
      </c>
      <c r="I18" s="40" t="str">
        <f t="shared" si="1"/>
        <v>-</v>
      </c>
      <c r="J18" s="7">
        <f t="shared" si="2"/>
        <v>0</v>
      </c>
      <c r="K18" s="6" t="str">
        <f>_xlfn.IFNA(VLOOKUP(I18,Päästökertoimet!$E$22:$F$35,2,FALSE),"-")</f>
        <v>-</v>
      </c>
      <c r="L18" s="23">
        <f t="shared" si="3"/>
        <v>0</v>
      </c>
      <c r="M18" s="9"/>
    </row>
    <row r="19" spans="2:13" x14ac:dyDescent="0.25">
      <c r="B19" s="112"/>
      <c r="C19" s="113"/>
      <c r="D19" s="113"/>
      <c r="E19" s="23">
        <f t="shared" si="0"/>
        <v>0</v>
      </c>
      <c r="I19" s="112"/>
      <c r="J19" s="113"/>
      <c r="K19" s="113"/>
      <c r="L19" s="23">
        <f t="shared" si="3"/>
        <v>0</v>
      </c>
      <c r="M19" s="9"/>
    </row>
    <row r="20" spans="2:13" ht="15.75" thickBot="1" x14ac:dyDescent="0.3">
      <c r="B20" s="114"/>
      <c r="C20" s="115"/>
      <c r="D20" s="115"/>
      <c r="E20" s="24">
        <f t="shared" si="0"/>
        <v>0</v>
      </c>
      <c r="I20" s="114"/>
      <c r="J20" s="115"/>
      <c r="K20" s="115"/>
      <c r="L20" s="24">
        <f t="shared" si="3"/>
        <v>0</v>
      </c>
      <c r="M20" s="9"/>
    </row>
    <row r="21" spans="2:13" x14ac:dyDescent="0.25">
      <c r="B21" s="5"/>
      <c r="C21" s="5"/>
      <c r="D21" s="5"/>
      <c r="E21" s="37"/>
      <c r="I21" s="5"/>
      <c r="J21" s="5"/>
      <c r="K21" s="5"/>
      <c r="L21" s="37"/>
      <c r="M21" s="9"/>
    </row>
    <row r="23" spans="2:13" ht="16.5" thickBot="1" x14ac:dyDescent="0.3">
      <c r="B23" s="143" t="s">
        <v>549</v>
      </c>
      <c r="C23" s="143"/>
      <c r="D23" s="143"/>
      <c r="E23" s="143"/>
      <c r="M23" s="9"/>
    </row>
    <row r="24" spans="2:13" ht="18.75" thickBot="1" x14ac:dyDescent="0.4">
      <c r="B24" s="10" t="s">
        <v>554</v>
      </c>
      <c r="C24" s="10" t="s">
        <v>111</v>
      </c>
      <c r="D24" s="10" t="s">
        <v>542</v>
      </c>
      <c r="E24" s="10" t="s">
        <v>60</v>
      </c>
      <c r="I24" s="10" t="s">
        <v>110</v>
      </c>
      <c r="J24" s="10" t="s">
        <v>111</v>
      </c>
      <c r="K24" s="10" t="s">
        <v>542</v>
      </c>
      <c r="L24" s="12" t="s">
        <v>60</v>
      </c>
    </row>
    <row r="25" spans="2:13" x14ac:dyDescent="0.25">
      <c r="B25" s="58"/>
      <c r="C25" s="34"/>
      <c r="D25" s="94" t="str">
        <f>_xlfn.IFNA(VLOOKUP(B25,Päästökertoimet!$E$10:$F$19,2,FALSE),"-")</f>
        <v>-</v>
      </c>
      <c r="E25" s="23">
        <f>IF(C25&gt;0,D25*C25,0)</f>
        <v>0</v>
      </c>
      <c r="I25" s="40" t="str">
        <f>IF(B25=0,"-",B25)</f>
        <v>-</v>
      </c>
      <c r="J25" s="13">
        <f>C25</f>
        <v>0</v>
      </c>
      <c r="K25" s="95" t="str">
        <f>_xlfn.IFNA(VLOOKUP(I25,Päästökertoimet!$E$22:$F$35,2,FALSE),"-")</f>
        <v>-</v>
      </c>
      <c r="L25" s="23">
        <f>IF(J25&gt;0,K25*J25,0)</f>
        <v>0</v>
      </c>
    </row>
    <row r="26" spans="2:13" x14ac:dyDescent="0.25">
      <c r="B26" s="22"/>
      <c r="C26" s="27"/>
      <c r="D26" s="7" t="str">
        <f>_xlfn.IFNA(VLOOKUP(B26,Päästökertoimet!$E$10:$F$19,2,FALSE),"-")</f>
        <v>-</v>
      </c>
      <c r="E26" s="23">
        <f t="shared" ref="E26:E33" si="4">IF(C26&gt;0,D26*C26,0)</f>
        <v>0</v>
      </c>
      <c r="I26" s="40" t="str">
        <f t="shared" ref="I26:I31" si="5">IF(B26=0,"-",B26)</f>
        <v>-</v>
      </c>
      <c r="J26" s="7">
        <f t="shared" ref="J26:J31" si="6">C26</f>
        <v>0</v>
      </c>
      <c r="K26" s="6" t="str">
        <f>_xlfn.IFNA(VLOOKUP(I26,Päästökertoimet!$E$22:$F$35,2,FALSE),"-")</f>
        <v>-</v>
      </c>
      <c r="L26" s="23">
        <f>IF(J26&gt;0,K26*J26,0)</f>
        <v>0</v>
      </c>
    </row>
    <row r="27" spans="2:13" x14ac:dyDescent="0.25">
      <c r="B27" s="22"/>
      <c r="C27" s="27"/>
      <c r="D27" s="7" t="str">
        <f>_xlfn.IFNA(VLOOKUP(B27,Päästökertoimet!$E$10:$F$19,2,FALSE),"-")</f>
        <v>-</v>
      </c>
      <c r="E27" s="23">
        <f t="shared" si="4"/>
        <v>0</v>
      </c>
      <c r="I27" s="40" t="str">
        <f t="shared" si="5"/>
        <v>-</v>
      </c>
      <c r="J27" s="7">
        <f t="shared" si="6"/>
        <v>0</v>
      </c>
      <c r="K27" s="6" t="str">
        <f>_xlfn.IFNA(VLOOKUP(I27,Päästökertoimet!$E$22:$F$35,2,FALSE),"-")</f>
        <v>-</v>
      </c>
      <c r="L27" s="23">
        <f>IF(J27&gt;0,K27*J27,0)</f>
        <v>0</v>
      </c>
    </row>
    <row r="28" spans="2:13" x14ac:dyDescent="0.25">
      <c r="B28" s="22"/>
      <c r="C28" s="27"/>
      <c r="D28" s="7" t="str">
        <f>_xlfn.IFNA(VLOOKUP(B28,Päästökertoimet!$E$10:$F$19,2,FALSE),"-")</f>
        <v>-</v>
      </c>
      <c r="E28" s="23">
        <f t="shared" si="4"/>
        <v>0</v>
      </c>
      <c r="I28" s="40" t="str">
        <f t="shared" si="5"/>
        <v>-</v>
      </c>
      <c r="J28" s="7">
        <f t="shared" si="6"/>
        <v>0</v>
      </c>
      <c r="K28" s="6" t="str">
        <f>_xlfn.IFNA(VLOOKUP(I28,Päästökertoimet!$E$22:$F$35,2,FALSE),"-")</f>
        <v>-</v>
      </c>
      <c r="L28" s="23">
        <f>IF(J28&gt;0,K28*J28,0)</f>
        <v>0</v>
      </c>
    </row>
    <row r="29" spans="2:13" x14ac:dyDescent="0.25">
      <c r="B29" s="22"/>
      <c r="C29" s="27"/>
      <c r="D29" s="7" t="str">
        <f>_xlfn.IFNA(VLOOKUP(B29,Päästökertoimet!$E$10:$F$19,2,FALSE),"-")</f>
        <v>-</v>
      </c>
      <c r="E29" s="23">
        <f t="shared" si="4"/>
        <v>0</v>
      </c>
      <c r="I29" s="40" t="str">
        <f t="shared" si="5"/>
        <v>-</v>
      </c>
      <c r="J29" s="7">
        <f t="shared" si="6"/>
        <v>0</v>
      </c>
      <c r="K29" s="6" t="str">
        <f>_xlfn.IFNA(VLOOKUP(I29,Päästökertoimet!$E$22:$F$35,2,FALSE),"-")</f>
        <v>-</v>
      </c>
      <c r="L29" s="23">
        <f>IF(J29&gt;0,K29*J29,0)</f>
        <v>0</v>
      </c>
    </row>
    <row r="30" spans="2:13" x14ac:dyDescent="0.25">
      <c r="B30" s="22"/>
      <c r="C30" s="27"/>
      <c r="D30" s="7" t="str">
        <f>_xlfn.IFNA(VLOOKUP(B30,Päästökertoimet!$E$10:$F$19,2,FALSE),"-")</f>
        <v>-</v>
      </c>
      <c r="E30" s="23">
        <f t="shared" si="4"/>
        <v>0</v>
      </c>
      <c r="I30" s="40" t="str">
        <f t="shared" si="5"/>
        <v>-</v>
      </c>
      <c r="J30" s="7">
        <f t="shared" si="6"/>
        <v>0</v>
      </c>
      <c r="K30" s="6" t="str">
        <f>_xlfn.IFNA(VLOOKUP(I30,Päästökertoimet!$E$22:$F$35,2,FALSE),"-")</f>
        <v>-</v>
      </c>
      <c r="L30" s="23">
        <f t="shared" ref="L30:L33" si="7">IF(J30&gt;0,K30*J30,0)</f>
        <v>0</v>
      </c>
    </row>
    <row r="31" spans="2:13" x14ac:dyDescent="0.25">
      <c r="B31" s="22"/>
      <c r="C31" s="27"/>
      <c r="D31" s="7" t="str">
        <f>_xlfn.IFNA(VLOOKUP(B31,Päästökertoimet!$E$10:$F$19,2,FALSE),"-")</f>
        <v>-</v>
      </c>
      <c r="E31" s="23">
        <f t="shared" si="4"/>
        <v>0</v>
      </c>
      <c r="I31" s="40" t="str">
        <f t="shared" si="5"/>
        <v>-</v>
      </c>
      <c r="J31" s="7">
        <f t="shared" si="6"/>
        <v>0</v>
      </c>
      <c r="K31" s="6" t="str">
        <f>_xlfn.IFNA(VLOOKUP(I31,Päästökertoimet!$E$22:$F$35,2,FALSE),"-")</f>
        <v>-</v>
      </c>
      <c r="L31" s="23">
        <f t="shared" si="7"/>
        <v>0</v>
      </c>
    </row>
    <row r="32" spans="2:13" x14ac:dyDescent="0.25">
      <c r="B32" s="112"/>
      <c r="C32" s="113"/>
      <c r="D32" s="113"/>
      <c r="E32" s="23">
        <f t="shared" si="4"/>
        <v>0</v>
      </c>
      <c r="I32" s="112"/>
      <c r="J32" s="113"/>
      <c r="K32" s="113"/>
      <c r="L32" s="23">
        <f t="shared" si="7"/>
        <v>0</v>
      </c>
    </row>
    <row r="33" spans="2:12" ht="15.75" thickBot="1" x14ac:dyDescent="0.3">
      <c r="B33" s="114"/>
      <c r="C33" s="115"/>
      <c r="D33" s="115"/>
      <c r="E33" s="24">
        <f t="shared" si="4"/>
        <v>0</v>
      </c>
      <c r="I33" s="114"/>
      <c r="J33" s="115"/>
      <c r="K33" s="115"/>
      <c r="L33" s="24">
        <f t="shared" si="7"/>
        <v>0</v>
      </c>
    </row>
    <row r="36" spans="2:12" ht="18.75" x14ac:dyDescent="0.3">
      <c r="B36" s="137" t="s">
        <v>518</v>
      </c>
      <c r="C36" s="137"/>
      <c r="D36" s="137"/>
      <c r="E36" s="137"/>
      <c r="I36" s="137" t="s">
        <v>522</v>
      </c>
      <c r="J36" s="137"/>
      <c r="K36" s="137"/>
      <c r="L36" s="137"/>
    </row>
    <row r="37" spans="2:12" ht="15.75" thickBot="1" x14ac:dyDescent="0.3"/>
    <row r="38" spans="2:12" ht="18.75" thickBot="1" x14ac:dyDescent="0.4">
      <c r="B38" s="11" t="s">
        <v>110</v>
      </c>
      <c r="C38" s="11" t="s">
        <v>520</v>
      </c>
      <c r="D38" s="10" t="s">
        <v>542</v>
      </c>
      <c r="E38" s="10" t="s">
        <v>60</v>
      </c>
      <c r="I38" s="10" t="s">
        <v>110</v>
      </c>
      <c r="J38" s="10" t="s">
        <v>236</v>
      </c>
      <c r="K38" s="10" t="s">
        <v>542</v>
      </c>
      <c r="L38" s="10" t="s">
        <v>60</v>
      </c>
    </row>
    <row r="39" spans="2:12" x14ac:dyDescent="0.25">
      <c r="B39" s="16"/>
      <c r="C39" s="27"/>
      <c r="D39" s="7" t="str">
        <f>_xlfn.IFNA(VLOOKUP(B39,Päästökertoimet!H23:I25,2,FALSE),"-")</f>
        <v>-</v>
      </c>
      <c r="E39" s="23">
        <f t="shared" ref="E39:E45" si="8">IF(C39&gt;0,D39*C39,0)</f>
        <v>0</v>
      </c>
      <c r="I39" s="40" t="str">
        <f>IF(B39=0,"-",B39)</f>
        <v>-</v>
      </c>
      <c r="J39" s="13">
        <f>SUM(C39:C45,SUM('Kaukolämpö ja kaukokylmä'!C39:C41))</f>
        <v>0</v>
      </c>
      <c r="K39" s="6" t="str">
        <f>_xlfn.IFNA(VLOOKUP(I39,Päästökertoimet!H23:J25,3,FALSE),"-")</f>
        <v>-</v>
      </c>
      <c r="L39" s="23">
        <f t="shared" ref="L39:L45" si="9">IF(J39&gt;0,K39*J39,0)</f>
        <v>0</v>
      </c>
    </row>
    <row r="40" spans="2:12" x14ac:dyDescent="0.25">
      <c r="B40" s="16"/>
      <c r="C40" s="27"/>
      <c r="D40" s="7" t="str">
        <f>_xlfn.IFNA(VLOOKUP(B40,Päästökertoimet!$E$38:$F$41,2,FALSE),"-")</f>
        <v>-</v>
      </c>
      <c r="E40" s="23">
        <f t="shared" si="8"/>
        <v>0</v>
      </c>
      <c r="I40" s="40" t="str">
        <f t="shared" ref="I40:I43" si="10">IF(B40=0,"-",B40)</f>
        <v>-</v>
      </c>
      <c r="J40" s="7">
        <f>SUM(C40:C46,SUM('Kaukolämpö ja kaukokylmä'!C40:C42))</f>
        <v>0</v>
      </c>
      <c r="K40" s="6" t="str">
        <f>_xlfn.IFNA(VLOOKUP(I40,Päästökertoimet!$A$81:$B$84,2,FALSE),"-")</f>
        <v>-</v>
      </c>
      <c r="L40" s="23">
        <f t="shared" si="9"/>
        <v>0</v>
      </c>
    </row>
    <row r="41" spans="2:12" x14ac:dyDescent="0.25">
      <c r="B41" s="16"/>
      <c r="C41" s="27"/>
      <c r="D41" s="7" t="str">
        <f>_xlfn.IFNA(VLOOKUP(B41,Päästökertoimet!$E$38:$F$41,2,FALSE),"-")</f>
        <v>-</v>
      </c>
      <c r="E41" s="23">
        <f t="shared" si="8"/>
        <v>0</v>
      </c>
      <c r="I41" s="40" t="str">
        <f t="shared" si="10"/>
        <v>-</v>
      </c>
      <c r="J41" s="7">
        <f>SUM(C41:C47,SUM('Kaukolämpö ja kaukokylmä'!C41:C43))</f>
        <v>0</v>
      </c>
      <c r="K41" s="6" t="str">
        <f>_xlfn.IFNA(VLOOKUP(I41,Päästökertoimet!$A$81:$B$84,2,FALSE),"-")</f>
        <v>-</v>
      </c>
      <c r="L41" s="23">
        <f t="shared" si="9"/>
        <v>0</v>
      </c>
    </row>
    <row r="42" spans="2:12" x14ac:dyDescent="0.25">
      <c r="B42" s="16"/>
      <c r="C42" s="27"/>
      <c r="D42" s="7" t="str">
        <f>_xlfn.IFNA(VLOOKUP(B42,Päästökertoimet!$E$38:$F$41,2,FALSE),"-")</f>
        <v>-</v>
      </c>
      <c r="E42" s="23">
        <f t="shared" si="8"/>
        <v>0</v>
      </c>
      <c r="I42" s="40" t="str">
        <f t="shared" si="10"/>
        <v>-</v>
      </c>
      <c r="J42" s="7">
        <f>SUM(C42:C48,SUM('Kaukolämpö ja kaukokylmä'!C42:C44))</f>
        <v>0</v>
      </c>
      <c r="K42" s="6" t="str">
        <f>_xlfn.IFNA(VLOOKUP(I42,Päästökertoimet!$A$81:$B$84,2,FALSE),"-")</f>
        <v>-</v>
      </c>
      <c r="L42" s="23">
        <f t="shared" si="9"/>
        <v>0</v>
      </c>
    </row>
    <row r="43" spans="2:12" x14ac:dyDescent="0.25">
      <c r="B43" s="16"/>
      <c r="C43" s="27"/>
      <c r="D43" s="7" t="str">
        <f>_xlfn.IFNA(VLOOKUP(B43,Päästökertoimet!$E$38:$F$41,2,FALSE),"-")</f>
        <v>-</v>
      </c>
      <c r="E43" s="23">
        <f t="shared" si="8"/>
        <v>0</v>
      </c>
      <c r="I43" s="40" t="str">
        <f t="shared" si="10"/>
        <v>-</v>
      </c>
      <c r="J43" s="7">
        <f>SUM(C43:C49,SUM('Kaukolämpö ja kaukokylmä'!C43:C45))</f>
        <v>0</v>
      </c>
      <c r="K43" s="6" t="str">
        <f>_xlfn.IFNA(VLOOKUP(I43,Päästökertoimet!$A$81:$B$84,2,FALSE),"-")</f>
        <v>-</v>
      </c>
      <c r="L43" s="23">
        <f t="shared" si="9"/>
        <v>0</v>
      </c>
    </row>
    <row r="44" spans="2:12" x14ac:dyDescent="0.25">
      <c r="B44" s="112"/>
      <c r="C44" s="113"/>
      <c r="D44" s="113"/>
      <c r="E44" s="23">
        <f t="shared" si="8"/>
        <v>0</v>
      </c>
      <c r="I44" s="112"/>
      <c r="J44" s="113"/>
      <c r="K44" s="113"/>
      <c r="L44" s="23">
        <f t="shared" si="9"/>
        <v>0</v>
      </c>
    </row>
    <row r="45" spans="2:12" ht="15.75" thickBot="1" x14ac:dyDescent="0.3">
      <c r="B45" s="114"/>
      <c r="C45" s="115"/>
      <c r="D45" s="115"/>
      <c r="E45" s="24">
        <f t="shared" si="8"/>
        <v>0</v>
      </c>
      <c r="I45" s="114"/>
      <c r="J45" s="115"/>
      <c r="K45" s="115"/>
      <c r="L45" s="24">
        <f t="shared" si="9"/>
        <v>0</v>
      </c>
    </row>
    <row r="46" spans="2:12" x14ac:dyDescent="0.25">
      <c r="B46" s="1"/>
      <c r="C46" s="1"/>
      <c r="D46" s="1"/>
      <c r="E46" s="1"/>
    </row>
  </sheetData>
  <mergeCells count="10">
    <mergeCell ref="I2:L2"/>
    <mergeCell ref="B3:E7"/>
    <mergeCell ref="B8:E8"/>
    <mergeCell ref="B2:E2"/>
    <mergeCell ref="I3:L6"/>
    <mergeCell ref="B36:E36"/>
    <mergeCell ref="I36:L36"/>
    <mergeCell ref="B10:E10"/>
    <mergeCell ref="B23:E23"/>
    <mergeCell ref="I8:L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3">
        <x14:dataValidation type="list" showInputMessage="1" showErrorMessage="1" xr:uid="{00000000-0002-0000-0500-000000000000}">
          <x14:formula1>
            <xm:f>Päästökertoimet!$E$2:$E$6</xm:f>
          </x14:formula1>
          <xm:sqref>B12:B18 B21</xm:sqref>
        </x14:dataValidation>
        <x14:dataValidation type="list" showInputMessage="1" showErrorMessage="1" xr:uid="{00000000-0002-0000-0500-000001000000}">
          <x14:formula1>
            <xm:f>Päästökertoimet!$E$9:$E$19</xm:f>
          </x14:formula1>
          <xm:sqref>B25:B31</xm:sqref>
        </x14:dataValidation>
        <x14:dataValidation type="list" showInputMessage="1" showErrorMessage="1" xr:uid="{00000000-0002-0000-0500-000002000000}">
          <x14:formula1>
            <xm:f>Päästökertoimet!$H$22:$H$25</xm:f>
          </x14:formula1>
          <xm:sqref>B39:B43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3">
    <tabColor theme="7" tint="0.39997558519241921"/>
  </sheetPr>
  <dimension ref="B2:O35"/>
  <sheetViews>
    <sheetView zoomScaleNormal="100" workbookViewId="0"/>
  </sheetViews>
  <sheetFormatPr defaultColWidth="9.28515625" defaultRowHeight="15" x14ac:dyDescent="0.25"/>
  <cols>
    <col min="1" max="1" width="9.28515625" style="1"/>
    <col min="2" max="2" width="9.28515625" style="2"/>
    <col min="3" max="3" width="22.42578125" style="2" bestFit="1" customWidth="1"/>
    <col min="4" max="4" width="26.140625" style="2" bestFit="1" customWidth="1"/>
    <col min="5" max="5" width="23.7109375" style="2" bestFit="1" customWidth="1"/>
    <col min="6" max="6" width="26.140625" style="1" bestFit="1" customWidth="1"/>
    <col min="7" max="7" width="15.28515625" style="1" bestFit="1" customWidth="1"/>
    <col min="8" max="10" width="9.28515625" style="1"/>
    <col min="11" max="11" width="9.7109375" style="1" customWidth="1"/>
    <col min="12" max="12" width="22.42578125" style="1" bestFit="1" customWidth="1"/>
    <col min="13" max="13" width="26.140625" style="1" bestFit="1" customWidth="1"/>
    <col min="14" max="14" width="15.28515625" style="1" bestFit="1" customWidth="1"/>
    <col min="15" max="16384" width="9.28515625" style="1"/>
  </cols>
  <sheetData>
    <row r="2" spans="2:15" ht="15.75" x14ac:dyDescent="0.25">
      <c r="B2" s="136" t="s">
        <v>306</v>
      </c>
      <c r="C2" s="136"/>
      <c r="D2" s="136"/>
      <c r="E2" s="136"/>
      <c r="F2" s="136"/>
      <c r="K2" s="145" t="s">
        <v>306</v>
      </c>
      <c r="L2" s="145"/>
      <c r="M2" s="145"/>
      <c r="N2" s="145"/>
      <c r="O2" s="53"/>
    </row>
    <row r="3" spans="2:15" ht="14.65" customHeight="1" x14ac:dyDescent="0.25">
      <c r="B3" s="135" t="s">
        <v>1147</v>
      </c>
      <c r="C3" s="135"/>
      <c r="D3" s="135"/>
      <c r="E3" s="135"/>
      <c r="F3" s="135"/>
      <c r="K3" s="135" t="s">
        <v>1141</v>
      </c>
      <c r="L3" s="135"/>
      <c r="M3" s="135"/>
      <c r="N3" s="135"/>
      <c r="O3" s="46"/>
    </row>
    <row r="4" spans="2:15" ht="14.65" customHeight="1" x14ac:dyDescent="0.25">
      <c r="B4" s="135"/>
      <c r="C4" s="135"/>
      <c r="D4" s="135"/>
      <c r="E4" s="135"/>
      <c r="F4" s="135"/>
      <c r="K4" s="135"/>
      <c r="L4" s="135"/>
      <c r="M4" s="135"/>
      <c r="N4" s="135"/>
      <c r="O4" s="46"/>
    </row>
    <row r="5" spans="2:15" x14ac:dyDescent="0.25">
      <c r="B5" s="135"/>
      <c r="C5" s="135"/>
      <c r="D5" s="135"/>
      <c r="E5" s="135"/>
      <c r="F5" s="135"/>
      <c r="K5" s="135"/>
      <c r="L5" s="135"/>
      <c r="M5" s="135"/>
      <c r="N5" s="135"/>
    </row>
    <row r="6" spans="2:15" x14ac:dyDescent="0.25">
      <c r="B6" s="135"/>
      <c r="C6" s="135"/>
      <c r="D6" s="135"/>
      <c r="E6" s="135"/>
      <c r="F6" s="135"/>
    </row>
    <row r="7" spans="2:15" ht="15.75" x14ac:dyDescent="0.25">
      <c r="B7" s="67"/>
      <c r="C7" s="67"/>
      <c r="D7" s="67"/>
      <c r="E7" s="67"/>
      <c r="F7" s="67"/>
    </row>
    <row r="8" spans="2:15" ht="18.75" x14ac:dyDescent="0.3">
      <c r="B8" s="137" t="s">
        <v>517</v>
      </c>
      <c r="C8" s="137"/>
      <c r="D8" s="137"/>
      <c r="E8" s="137"/>
      <c r="K8" s="137" t="s">
        <v>521</v>
      </c>
      <c r="L8" s="137"/>
      <c r="M8" s="137"/>
      <c r="N8" s="137"/>
    </row>
    <row r="9" spans="2:15" ht="15.75" thickBot="1" x14ac:dyDescent="0.3"/>
    <row r="10" spans="2:15" ht="18.75" thickBot="1" x14ac:dyDescent="0.4">
      <c r="B10" s="11" t="s">
        <v>110</v>
      </c>
      <c r="C10" s="11" t="s">
        <v>236</v>
      </c>
      <c r="D10" s="10" t="s">
        <v>542</v>
      </c>
      <c r="E10" s="10" t="s">
        <v>60</v>
      </c>
      <c r="K10" s="10" t="s">
        <v>110</v>
      </c>
      <c r="L10" s="10" t="s">
        <v>236</v>
      </c>
      <c r="M10" s="10" t="s">
        <v>542</v>
      </c>
      <c r="N10" s="10" t="s">
        <v>60</v>
      </c>
    </row>
    <row r="11" spans="2:15" x14ac:dyDescent="0.25">
      <c r="B11" s="16"/>
      <c r="C11" s="27"/>
      <c r="D11" s="7" t="str">
        <f>_xlfn.IFNA(VLOOKUP(B11,Päästökertoimet!$E$38:$F$41,2,FALSE),"-")</f>
        <v>-</v>
      </c>
      <c r="E11" s="23">
        <f t="shared" ref="E11:E17" si="0">IF(C11&gt;0,D11*C11,0)</f>
        <v>0</v>
      </c>
      <c r="K11" s="40" t="str">
        <f>IF(B11=0,"-",B11)</f>
        <v>-</v>
      </c>
      <c r="L11" s="13">
        <f>C11</f>
        <v>0</v>
      </c>
      <c r="M11" s="6" t="str">
        <f>_xlfn.IFNA(VLOOKUP(K11,Päästökertoimet!$A$81:$B$84,2,FALSE),"-")</f>
        <v>-</v>
      </c>
      <c r="N11" s="23">
        <f>IF(L11&gt;0,M11*L11,0)</f>
        <v>0</v>
      </c>
    </row>
    <row r="12" spans="2:15" x14ac:dyDescent="0.25">
      <c r="B12" s="16"/>
      <c r="C12" s="27"/>
      <c r="D12" s="7" t="str">
        <f>_xlfn.IFNA(VLOOKUP(B12,Päästökertoimet!$E$38:$F$41,2,FALSE),"-")</f>
        <v>-</v>
      </c>
      <c r="E12" s="23">
        <f t="shared" si="0"/>
        <v>0</v>
      </c>
      <c r="K12" s="40" t="str">
        <f t="shared" ref="K12:K15" si="1">IF(B12=0,"-",B12)</f>
        <v>-</v>
      </c>
      <c r="L12" s="7">
        <f t="shared" ref="L12:L15" si="2">C12</f>
        <v>0</v>
      </c>
      <c r="M12" s="6" t="str">
        <f>_xlfn.IFNA(VLOOKUP(K12,Päästökertoimet!$A$81:$B$84,2,FALSE),"-")</f>
        <v>-</v>
      </c>
      <c r="N12" s="23">
        <f t="shared" ref="N12:N17" si="3">IF(L12&gt;0,M12*L12,0)</f>
        <v>0</v>
      </c>
    </row>
    <row r="13" spans="2:15" x14ac:dyDescent="0.25">
      <c r="B13" s="16"/>
      <c r="C13" s="27"/>
      <c r="D13" s="7" t="str">
        <f>_xlfn.IFNA(VLOOKUP(B13,Päästökertoimet!$E$38:$F$41,2,FALSE),"-")</f>
        <v>-</v>
      </c>
      <c r="E13" s="23">
        <f t="shared" si="0"/>
        <v>0</v>
      </c>
      <c r="K13" s="40" t="str">
        <f t="shared" si="1"/>
        <v>-</v>
      </c>
      <c r="L13" s="7">
        <f t="shared" si="2"/>
        <v>0</v>
      </c>
      <c r="M13" s="6" t="str">
        <f>_xlfn.IFNA(VLOOKUP(K13,Päästökertoimet!$A$81:$B$84,2,FALSE),"-")</f>
        <v>-</v>
      </c>
      <c r="N13" s="23">
        <f t="shared" si="3"/>
        <v>0</v>
      </c>
    </row>
    <row r="14" spans="2:15" x14ac:dyDescent="0.25">
      <c r="B14" s="16"/>
      <c r="C14" s="27"/>
      <c r="D14" s="7" t="str">
        <f>_xlfn.IFNA(VLOOKUP(B14,Päästökertoimet!$E$38:$F$41,2,FALSE),"-")</f>
        <v>-</v>
      </c>
      <c r="E14" s="23">
        <f t="shared" si="0"/>
        <v>0</v>
      </c>
      <c r="K14" s="40" t="str">
        <f t="shared" si="1"/>
        <v>-</v>
      </c>
      <c r="L14" s="7">
        <f t="shared" si="2"/>
        <v>0</v>
      </c>
      <c r="M14" s="6" t="str">
        <f>_xlfn.IFNA(VLOOKUP(K14,Päästökertoimet!$A$81:$B$84,2,FALSE),"-")</f>
        <v>-</v>
      </c>
      <c r="N14" s="23">
        <f t="shared" si="3"/>
        <v>0</v>
      </c>
    </row>
    <row r="15" spans="2:15" x14ac:dyDescent="0.25">
      <c r="B15" s="16"/>
      <c r="C15" s="27"/>
      <c r="D15" s="7" t="str">
        <f>_xlfn.IFNA(VLOOKUP(B15,Päästökertoimet!$E$38:$F$41,2,FALSE),"-")</f>
        <v>-</v>
      </c>
      <c r="E15" s="23">
        <f t="shared" si="0"/>
        <v>0</v>
      </c>
      <c r="K15" s="40" t="str">
        <f t="shared" si="1"/>
        <v>-</v>
      </c>
      <c r="L15" s="34">
        <f t="shared" si="2"/>
        <v>0</v>
      </c>
      <c r="M15" s="6" t="str">
        <f>_xlfn.IFNA(VLOOKUP(K15,Päästökertoimet!$A$81:$B$84,2,FALSE),"-")</f>
        <v>-</v>
      </c>
      <c r="N15" s="23">
        <f t="shared" si="3"/>
        <v>0</v>
      </c>
    </row>
    <row r="16" spans="2:15" x14ac:dyDescent="0.25">
      <c r="B16" s="112"/>
      <c r="C16" s="113"/>
      <c r="D16" s="113"/>
      <c r="E16" s="23">
        <f t="shared" si="0"/>
        <v>0</v>
      </c>
      <c r="K16" s="112"/>
      <c r="L16" s="113"/>
      <c r="M16" s="113"/>
      <c r="N16" s="23">
        <f t="shared" si="3"/>
        <v>0</v>
      </c>
    </row>
    <row r="17" spans="2:14" ht="15.75" thickBot="1" x14ac:dyDescent="0.3">
      <c r="B17" s="114"/>
      <c r="C17" s="115"/>
      <c r="D17" s="115"/>
      <c r="E17" s="24">
        <f t="shared" si="0"/>
        <v>0</v>
      </c>
      <c r="K17" s="114"/>
      <c r="L17" s="115"/>
      <c r="M17" s="115"/>
      <c r="N17" s="24">
        <f t="shared" si="3"/>
        <v>0</v>
      </c>
    </row>
    <row r="18" spans="2:14" ht="15.75" thickBot="1" x14ac:dyDescent="0.3"/>
    <row r="19" spans="2:14" ht="18.75" thickBot="1" x14ac:dyDescent="0.4">
      <c r="B19" s="28" t="s">
        <v>110</v>
      </c>
      <c r="C19" s="11" t="s">
        <v>236</v>
      </c>
      <c r="D19" s="11" t="s">
        <v>237</v>
      </c>
      <c r="E19" s="29" t="s">
        <v>238</v>
      </c>
      <c r="F19" s="25" t="s">
        <v>542</v>
      </c>
      <c r="G19" s="12" t="s">
        <v>60</v>
      </c>
      <c r="K19" s="10" t="s">
        <v>110</v>
      </c>
      <c r="L19" s="10" t="s">
        <v>236</v>
      </c>
      <c r="M19" s="10" t="s">
        <v>542</v>
      </c>
      <c r="N19" s="10" t="s">
        <v>60</v>
      </c>
    </row>
    <row r="20" spans="2:14" x14ac:dyDescent="0.25">
      <c r="B20" s="16"/>
      <c r="C20" s="27"/>
      <c r="D20" s="27"/>
      <c r="E20" s="27"/>
      <c r="F20" s="6" t="str" cm="1">
        <f t="array" ref="F20">_xlfn.IFNA(INDEX(Päästökertoimet!$H$45:$H$198,MATCH('Kaukolämpö ja kaukokylmä'!B20&amp;'Kaukolämpö ja kaukokylmä'!D20&amp;E20,Päästökertoimet!$E$45:$E$198&amp;Päästökertoimet!$F$45:$F$198&amp;Päästökertoimet!$G$45:$G$198,0)),"-")</f>
        <v>-</v>
      </c>
      <c r="G20" s="23">
        <f>IFERROR(C20*F20,0)</f>
        <v>0</v>
      </c>
      <c r="K20" s="40" t="str">
        <f t="shared" ref="K20" si="4">IF(B20=0,"-",B20)</f>
        <v>-</v>
      </c>
      <c r="L20" s="7">
        <f t="shared" ref="L20" si="5">C20</f>
        <v>0</v>
      </c>
      <c r="M20" s="6" t="str">
        <f>_xlfn.IFNA(VLOOKUP(K20,Päästökertoimet!$A$81:$B$84,2,FALSE),"-")</f>
        <v>-</v>
      </c>
      <c r="N20" s="23">
        <f>IF(L20&gt;0,M20*L20,0)</f>
        <v>0</v>
      </c>
    </row>
    <row r="21" spans="2:14" x14ac:dyDescent="0.25">
      <c r="B21" s="16"/>
      <c r="C21" s="27"/>
      <c r="D21" s="27"/>
      <c r="E21" s="27"/>
      <c r="F21" s="6" t="str">
        <f t="array" ref="F21">_xlfn.IFNA(INDEX(Päästökertoimet!$H$45:$H$198,MATCH('Kaukolämpö ja kaukokylmä'!B21&amp;'Kaukolämpö ja kaukokylmä'!D21&amp;E21,Päästökertoimet!$E$45:$E$198&amp;Päästökertoimet!$F$45:$F$198&amp;Päästökertoimet!$G$45:$G$198,0)),"-")</f>
        <v>-</v>
      </c>
      <c r="G21" s="23">
        <f>IFERROR(C21*F21,0)</f>
        <v>0</v>
      </c>
      <c r="K21" s="40" t="str">
        <f t="shared" ref="K21" si="6">IF(B21=0,"-",B21)</f>
        <v>-</v>
      </c>
      <c r="L21" s="7">
        <f t="shared" ref="L21" si="7">C21</f>
        <v>0</v>
      </c>
      <c r="M21" s="6" t="str">
        <f>_xlfn.IFNA(VLOOKUP(K21,Päästökertoimet!$A$81:$B$84,2,FALSE),"-")</f>
        <v>-</v>
      </c>
      <c r="N21" s="23">
        <f t="shared" ref="N21:N23" si="8">IF(L21&gt;0,M21*L21,0)</f>
        <v>0</v>
      </c>
    </row>
    <row r="22" spans="2:14" x14ac:dyDescent="0.25">
      <c r="B22" s="16"/>
      <c r="C22" s="27"/>
      <c r="D22" s="27"/>
      <c r="E22" s="27"/>
      <c r="F22" s="6" t="str">
        <f t="array" ref="F22">_xlfn.IFNA(INDEX(Päästökertoimet!$H$45:$H$198,MATCH('Kaukolämpö ja kaukokylmä'!B22&amp;'Kaukolämpö ja kaukokylmä'!D22&amp;E22,Päästökertoimet!$E$45:$E$198&amp;Päästökertoimet!$F$45:$F$198&amp;Päästökertoimet!$G$45:$G$198,0)),"-")</f>
        <v>-</v>
      </c>
      <c r="G22" s="23">
        <f>IFERROR(C22*F22,0)</f>
        <v>0</v>
      </c>
      <c r="K22" s="40" t="str">
        <f t="shared" ref="K22:K23" si="9">IF(B22=0,"-",B22)</f>
        <v>-</v>
      </c>
      <c r="L22" s="7">
        <f t="shared" ref="L22" si="10">C22</f>
        <v>0</v>
      </c>
      <c r="M22" s="6" t="str">
        <f>_xlfn.IFNA(VLOOKUP(K22,Päästökertoimet!$A$81:$B$84,2,FALSE),"-")</f>
        <v>-</v>
      </c>
      <c r="N22" s="23">
        <f t="shared" si="8"/>
        <v>0</v>
      </c>
    </row>
    <row r="23" spans="2:14" ht="15.75" thickBot="1" x14ac:dyDescent="0.3">
      <c r="B23" s="17"/>
      <c r="C23" s="30"/>
      <c r="D23" s="30"/>
      <c r="E23" s="30"/>
      <c r="F23" s="21" t="str">
        <f t="array" ref="F23">_xlfn.IFNA(INDEX(Päästökertoimet!$H$45:$H$198,MATCH('Kaukolämpö ja kaukokylmä'!B23&amp;'Kaukolämpö ja kaukokylmä'!D23&amp;E23,Päästökertoimet!$E$45:$E$198&amp;Päästökertoimet!$F$45:$F$198&amp;Päästökertoimet!$G$45:$G$198,0)),"-")</f>
        <v>-</v>
      </c>
      <c r="G23" s="24">
        <f>IFERROR(C23*F23,0)</f>
        <v>0</v>
      </c>
      <c r="K23" s="38" t="str">
        <f t="shared" si="9"/>
        <v>-</v>
      </c>
      <c r="L23" s="8">
        <f>C23</f>
        <v>0</v>
      </c>
      <c r="M23" s="21" t="str">
        <f>_xlfn.IFNA(VLOOKUP(K23,Päästökertoimet!$A$81:$B$84,2,FALSE),"-")</f>
        <v>-</v>
      </c>
      <c r="N23" s="24">
        <f t="shared" si="8"/>
        <v>0</v>
      </c>
    </row>
    <row r="24" spans="2:14" x14ac:dyDescent="0.25">
      <c r="F24" s="2"/>
    </row>
    <row r="25" spans="2:14" x14ac:dyDescent="0.25">
      <c r="F25" s="2"/>
    </row>
    <row r="26" spans="2:14" ht="18.75" x14ac:dyDescent="0.3">
      <c r="B26" s="137" t="s">
        <v>555</v>
      </c>
      <c r="C26" s="137"/>
      <c r="D26" s="137"/>
      <c r="E26" s="137"/>
      <c r="K26" s="137" t="s">
        <v>556</v>
      </c>
      <c r="L26" s="137"/>
      <c r="M26" s="137"/>
      <c r="N26" s="137"/>
    </row>
    <row r="27" spans="2:14" ht="15.75" thickBot="1" x14ac:dyDescent="0.3"/>
    <row r="28" spans="2:14" ht="18.75" thickBot="1" x14ac:dyDescent="0.4">
      <c r="B28" s="11" t="s">
        <v>110</v>
      </c>
      <c r="C28" s="11" t="s">
        <v>557</v>
      </c>
      <c r="D28" s="10" t="s">
        <v>542</v>
      </c>
      <c r="E28" s="10" t="s">
        <v>60</v>
      </c>
      <c r="K28" s="10" t="s">
        <v>110</v>
      </c>
      <c r="L28" s="10" t="s">
        <v>557</v>
      </c>
      <c r="M28" s="10" t="s">
        <v>542</v>
      </c>
      <c r="N28" s="10" t="s">
        <v>60</v>
      </c>
    </row>
    <row r="29" spans="2:14" x14ac:dyDescent="0.25">
      <c r="B29" s="16"/>
      <c r="C29" s="27"/>
      <c r="D29" s="7" t="str">
        <f>_xlfn.IFNA(VLOOKUP(B29,Päästökertoimet!$A$88:$B$88,2,FALSE),"-")</f>
        <v>-</v>
      </c>
      <c r="E29" s="23">
        <f t="shared" ref="E29:E35" si="11">IF(C29&gt;0,D29*C29,0)</f>
        <v>0</v>
      </c>
      <c r="K29" s="40" t="str">
        <f>IF(B29=0,"-",B29)</f>
        <v>-</v>
      </c>
      <c r="L29" s="7">
        <f t="shared" ref="L29:L33" si="12">C29</f>
        <v>0</v>
      </c>
      <c r="M29" s="6" t="str">
        <f>_xlfn.IFNA(VLOOKUP(K29,Päästökertoimet!$A$92:$B$92,2,FALSE),"-")</f>
        <v>-</v>
      </c>
      <c r="N29" s="23">
        <f>IF(L29&gt;0,M29*L29,0)</f>
        <v>0</v>
      </c>
    </row>
    <row r="30" spans="2:14" x14ac:dyDescent="0.25">
      <c r="B30" s="16"/>
      <c r="C30" s="27"/>
      <c r="D30" s="7" t="str">
        <f>_xlfn.IFNA(VLOOKUP(B30,Päästökertoimet!$A$88:$B$88,2,FALSE),"-")</f>
        <v>-</v>
      </c>
      <c r="E30" s="23">
        <f t="shared" si="11"/>
        <v>0</v>
      </c>
      <c r="K30" s="40" t="str">
        <f t="shared" ref="K30:K33" si="13">IF(B30=0,"-",B30)</f>
        <v>-</v>
      </c>
      <c r="L30" s="7">
        <f t="shared" si="12"/>
        <v>0</v>
      </c>
      <c r="M30" s="6" t="str">
        <f>_xlfn.IFNA(VLOOKUP(K30,Päästökertoimet!$A$92:$B$92,2,FALSE),"-")</f>
        <v>-</v>
      </c>
      <c r="N30" s="23">
        <f t="shared" ref="N30:N35" si="14">IF(L30&gt;0,M30*L30,0)</f>
        <v>0</v>
      </c>
    </row>
    <row r="31" spans="2:14" x14ac:dyDescent="0.25">
      <c r="B31" s="16"/>
      <c r="C31" s="27"/>
      <c r="D31" s="7" t="str">
        <f>_xlfn.IFNA(VLOOKUP(B31,Päästökertoimet!$A$88:$B$88,2,FALSE),"-")</f>
        <v>-</v>
      </c>
      <c r="E31" s="23">
        <f t="shared" si="11"/>
        <v>0</v>
      </c>
      <c r="K31" s="40" t="str">
        <f t="shared" si="13"/>
        <v>-</v>
      </c>
      <c r="L31" s="7">
        <f t="shared" si="12"/>
        <v>0</v>
      </c>
      <c r="M31" s="6" t="str">
        <f>_xlfn.IFNA(VLOOKUP(K31,Päästökertoimet!$A$92:$B$92,2,FALSE),"-")</f>
        <v>-</v>
      </c>
      <c r="N31" s="23">
        <f t="shared" si="14"/>
        <v>0</v>
      </c>
    </row>
    <row r="32" spans="2:14" x14ac:dyDescent="0.25">
      <c r="B32" s="16"/>
      <c r="C32" s="27"/>
      <c r="D32" s="7" t="str">
        <f>_xlfn.IFNA(VLOOKUP(B32,Päästökertoimet!$A$88:$B$88,2,FALSE),"-")</f>
        <v>-</v>
      </c>
      <c r="E32" s="23">
        <f t="shared" si="11"/>
        <v>0</v>
      </c>
      <c r="K32" s="40" t="str">
        <f t="shared" si="13"/>
        <v>-</v>
      </c>
      <c r="L32" s="7">
        <f t="shared" si="12"/>
        <v>0</v>
      </c>
      <c r="M32" s="6" t="str">
        <f>_xlfn.IFNA(VLOOKUP(K32,Päästökertoimet!$A$92:$B$92,2,FALSE),"-")</f>
        <v>-</v>
      </c>
      <c r="N32" s="23">
        <f t="shared" si="14"/>
        <v>0</v>
      </c>
    </row>
    <row r="33" spans="2:14" x14ac:dyDescent="0.25">
      <c r="B33" s="16"/>
      <c r="C33" s="27"/>
      <c r="D33" s="7" t="str">
        <f>_xlfn.IFNA(VLOOKUP(B33,Päästökertoimet!$A$88:$B$88,2,FALSE),"-")</f>
        <v>-</v>
      </c>
      <c r="E33" s="23">
        <f t="shared" si="11"/>
        <v>0</v>
      </c>
      <c r="K33" s="40" t="str">
        <f t="shared" si="13"/>
        <v>-</v>
      </c>
      <c r="L33" s="7">
        <f t="shared" si="12"/>
        <v>0</v>
      </c>
      <c r="M33" s="6" t="str">
        <f>_xlfn.IFNA(VLOOKUP(K33,Päästökertoimet!$A$92:$B$92,2,FALSE),"-")</f>
        <v>-</v>
      </c>
      <c r="N33" s="23">
        <f t="shared" si="14"/>
        <v>0</v>
      </c>
    </row>
    <row r="34" spans="2:14" x14ac:dyDescent="0.25">
      <c r="B34" s="112"/>
      <c r="C34" s="113"/>
      <c r="D34" s="113"/>
      <c r="E34" s="23">
        <f t="shared" si="11"/>
        <v>0</v>
      </c>
      <c r="K34" s="112"/>
      <c r="L34" s="113"/>
      <c r="M34" s="113"/>
      <c r="N34" s="23">
        <f t="shared" si="14"/>
        <v>0</v>
      </c>
    </row>
    <row r="35" spans="2:14" ht="15.75" thickBot="1" x14ac:dyDescent="0.3">
      <c r="B35" s="114"/>
      <c r="C35" s="115"/>
      <c r="D35" s="115"/>
      <c r="E35" s="24">
        <f t="shared" si="11"/>
        <v>0</v>
      </c>
      <c r="K35" s="114"/>
      <c r="L35" s="115"/>
      <c r="M35" s="115"/>
      <c r="N35" s="24">
        <f t="shared" si="14"/>
        <v>0</v>
      </c>
    </row>
  </sheetData>
  <mergeCells count="8">
    <mergeCell ref="B26:E26"/>
    <mergeCell ref="K26:N26"/>
    <mergeCell ref="B8:E8"/>
    <mergeCell ref="K8:N8"/>
    <mergeCell ref="B2:F2"/>
    <mergeCell ref="K3:N5"/>
    <mergeCell ref="B3:F6"/>
    <mergeCell ref="K2:N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showInputMessage="1" showErrorMessage="1" xr:uid="{00000000-0002-0000-0600-000000000000}">
          <x14:formula1>
            <xm:f>Päästökertoimet!$E$38:$E$41</xm:f>
          </x14:formula1>
          <xm:sqref>B11:B15</xm:sqref>
        </x14:dataValidation>
        <x14:dataValidation type="list" allowBlank="1" showInputMessage="1" showErrorMessage="1" xr:uid="{00000000-0002-0000-0600-000001000000}">
          <x14:formula1>
            <xm:f>Päästökertoimet!$E$38:$E$41</xm:f>
          </x14:formula1>
          <xm:sqref>B20:B23</xm:sqref>
        </x14:dataValidation>
        <x14:dataValidation type="list" showInputMessage="1" showErrorMessage="1" xr:uid="{00000000-0002-0000-0600-000002000000}">
          <x14:formula1>
            <xm:f>Päästökertoimet!$E$201:$E$263</xm:f>
          </x14:formula1>
          <xm:sqref>D20:D23</xm:sqref>
        </x14:dataValidation>
        <x14:dataValidation type="list" showInputMessage="1" showErrorMessage="1" xr:uid="{00000000-0002-0000-0600-000003000000}">
          <x14:formula1>
            <xm:f>Päästökertoimet!$G$200:$G$257</xm:f>
          </x14:formula1>
          <xm:sqref>E20:E23</xm:sqref>
        </x14:dataValidation>
        <x14:dataValidation type="list" showInputMessage="1" showErrorMessage="1" xr:uid="{00000000-0002-0000-0600-000004000000}">
          <x14:formula1>
            <xm:f>Päästökertoimet!$A$87:$A$88</xm:f>
          </x14:formula1>
          <xm:sqref>B29:B33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B1:K181"/>
  <sheetViews>
    <sheetView zoomScaleNormal="100" workbookViewId="0">
      <selection activeCell="A2" sqref="A2"/>
    </sheetView>
  </sheetViews>
  <sheetFormatPr defaultColWidth="9.140625" defaultRowHeight="15" x14ac:dyDescent="0.25"/>
  <cols>
    <col min="1" max="1" width="9.140625" style="1"/>
    <col min="2" max="2" width="85" style="2" bestFit="1" customWidth="1"/>
    <col min="3" max="3" width="20.85546875" style="2" bestFit="1" customWidth="1"/>
    <col min="4" max="4" width="22.42578125" style="2" bestFit="1" customWidth="1"/>
    <col min="5" max="5" width="23.85546875" style="2" bestFit="1" customWidth="1"/>
    <col min="6" max="6" width="22.42578125" style="2" bestFit="1" customWidth="1"/>
    <col min="7" max="7" width="23.85546875" style="2" bestFit="1" customWidth="1"/>
    <col min="8" max="8" width="23.5703125" style="2" bestFit="1" customWidth="1"/>
    <col min="9" max="9" width="24.5703125" style="2" bestFit="1" customWidth="1"/>
    <col min="10" max="10" width="24.28515625" style="2" bestFit="1" customWidth="1"/>
    <col min="11" max="11" width="15.28515625" style="2" bestFit="1" customWidth="1"/>
    <col min="12" max="16384" width="9.140625" style="1"/>
  </cols>
  <sheetData>
    <row r="1" spans="2:11" ht="15" customHeight="1" x14ac:dyDescent="0.25"/>
    <row r="2" spans="2:11" ht="15.75" customHeight="1" x14ac:dyDescent="0.25">
      <c r="B2" s="136" t="s">
        <v>306</v>
      </c>
      <c r="C2" s="136"/>
      <c r="D2" s="136"/>
      <c r="E2" s="136"/>
      <c r="F2" s="136"/>
      <c r="G2" s="136"/>
      <c r="H2" s="136"/>
      <c r="I2" s="136"/>
      <c r="J2" s="136"/>
      <c r="K2" s="136"/>
    </row>
    <row r="3" spans="2:11" ht="15" customHeight="1" x14ac:dyDescent="0.25">
      <c r="B3" s="139" t="s">
        <v>619</v>
      </c>
      <c r="C3" s="139"/>
      <c r="D3" s="139"/>
      <c r="E3" s="139"/>
      <c r="F3" s="139"/>
      <c r="G3" s="139"/>
      <c r="H3" s="139"/>
      <c r="I3" s="139"/>
      <c r="J3" s="139"/>
      <c r="K3" s="139"/>
    </row>
    <row r="4" spans="2:11" ht="15" customHeight="1" x14ac:dyDescent="0.25">
      <c r="B4" s="139"/>
      <c r="C4" s="139"/>
      <c r="D4" s="139"/>
      <c r="E4" s="139"/>
      <c r="F4" s="139"/>
      <c r="G4" s="139"/>
      <c r="H4" s="139"/>
      <c r="I4" s="139"/>
      <c r="J4" s="139"/>
      <c r="K4" s="139"/>
    </row>
    <row r="5" spans="2:11" ht="15.75" customHeight="1" x14ac:dyDescent="0.25">
      <c r="B5" s="69"/>
      <c r="C5" s="69"/>
      <c r="D5" s="69"/>
      <c r="E5" s="69"/>
      <c r="F5" s="69"/>
      <c r="G5" s="69"/>
    </row>
    <row r="6" spans="2:11" ht="18.75" x14ac:dyDescent="0.3">
      <c r="B6" s="137" t="s">
        <v>596</v>
      </c>
      <c r="C6" s="137"/>
      <c r="D6" s="137"/>
      <c r="E6" s="137"/>
      <c r="F6" s="137"/>
      <c r="G6" s="137"/>
      <c r="H6" s="137"/>
      <c r="I6" s="137"/>
      <c r="J6" s="137"/>
      <c r="K6" s="137"/>
    </row>
    <row r="7" spans="2:11" ht="15" customHeight="1" x14ac:dyDescent="0.25">
      <c r="B7" s="137" t="s">
        <v>565</v>
      </c>
      <c r="C7" s="137"/>
      <c r="D7" s="137"/>
      <c r="E7" s="137"/>
      <c r="F7" s="137"/>
      <c r="G7" s="137"/>
      <c r="H7" s="137"/>
      <c r="I7" s="137"/>
      <c r="J7" s="137"/>
      <c r="K7" s="137"/>
    </row>
    <row r="8" spans="2:11" ht="15.75" customHeight="1" thickBot="1" x14ac:dyDescent="0.3">
      <c r="B8" s="138"/>
      <c r="C8" s="138"/>
      <c r="D8" s="138"/>
      <c r="E8" s="138"/>
      <c r="F8" s="138"/>
      <c r="G8" s="138"/>
      <c r="H8" s="138"/>
      <c r="I8" s="138"/>
      <c r="J8" s="138"/>
      <c r="K8" s="138"/>
    </row>
    <row r="9" spans="2:11" ht="19.5" thickBot="1" x14ac:dyDescent="0.4">
      <c r="B9" s="10" t="s">
        <v>595</v>
      </c>
      <c r="C9" s="10" t="s">
        <v>597</v>
      </c>
      <c r="D9" s="10" t="s">
        <v>598</v>
      </c>
      <c r="E9" s="10" t="s">
        <v>599</v>
      </c>
      <c r="F9" s="99" t="s">
        <v>600</v>
      </c>
      <c r="G9" s="10" t="s">
        <v>58</v>
      </c>
      <c r="H9" s="10" t="s">
        <v>601</v>
      </c>
      <c r="I9" s="10" t="s">
        <v>602</v>
      </c>
      <c r="J9" s="10" t="s">
        <v>603</v>
      </c>
      <c r="K9" s="10" t="s">
        <v>60</v>
      </c>
    </row>
    <row r="10" spans="2:11" x14ac:dyDescent="0.25">
      <c r="B10" s="58"/>
      <c r="C10" s="34"/>
      <c r="D10" s="34"/>
      <c r="E10" s="34"/>
      <c r="F10" s="34"/>
      <c r="G10" s="13" t="str">
        <f>_xlfn.IFNA(VLOOKUP(B10,Päästökertoimet!$J$101:$N$145,2,FALSE),"-")</f>
        <v>-</v>
      </c>
      <c r="H10" s="13" t="str">
        <f>_xlfn.IFNA(VLOOKUP(B10,Päästökertoimet!$J$101:$N$145,3,FALSE),"-")</f>
        <v>-</v>
      </c>
      <c r="I10" s="13" t="str">
        <f>_xlfn.IFNA(VLOOKUP(B10,Päästökertoimet!$J$101:$N$145,4,FALSE),"-")</f>
        <v>-</v>
      </c>
      <c r="J10" s="13" t="str">
        <f>_xlfn.IFNA(VLOOKUP(B10,Päästökertoimet!$J$101:$N$145,5,FALSE),"-")</f>
        <v>-</v>
      </c>
      <c r="K10" s="23">
        <f>IFERROR(E10*I10,0)+IFERROR(F10*J10,0)+IFERROR(D10*H10,0)+IFERROR(C10*G10,0)</f>
        <v>0</v>
      </c>
    </row>
    <row r="11" spans="2:11" x14ac:dyDescent="0.25">
      <c r="B11" s="22"/>
      <c r="C11" s="27"/>
      <c r="D11" s="27"/>
      <c r="E11" s="27"/>
      <c r="F11" s="27"/>
      <c r="G11" s="7" t="str">
        <f>_xlfn.IFNA(VLOOKUP(B11,Päästökertoimet!$J$101:$N$145,2,FALSE),"-")</f>
        <v>-</v>
      </c>
      <c r="H11" s="7" t="str">
        <f>_xlfn.IFNA(VLOOKUP(B11,Päästökertoimet!$J$101:$N$145,3,FALSE),"-")</f>
        <v>-</v>
      </c>
      <c r="I11" s="7" t="str">
        <f>_xlfn.IFNA(VLOOKUP(B11,Päästökertoimet!$J$101:$N$145,4,FALSE),"-")</f>
        <v>-</v>
      </c>
      <c r="J11" s="7" t="str">
        <f>_xlfn.IFNA(VLOOKUP(B11,Päästökertoimet!$J$101:$N$145,5,FALSE),"-")</f>
        <v>-</v>
      </c>
      <c r="K11" s="23">
        <f t="shared" ref="K11:K21" si="0">IFERROR(E11*I11,0)+IFERROR(F11*J11,0)+IFERROR(D11*H11,0)+IFERROR(C11*G11,0)</f>
        <v>0</v>
      </c>
    </row>
    <row r="12" spans="2:11" x14ac:dyDescent="0.25">
      <c r="B12" s="22"/>
      <c r="C12" s="27"/>
      <c r="D12" s="27"/>
      <c r="E12" s="27"/>
      <c r="F12" s="27"/>
      <c r="G12" s="7" t="str">
        <f>_xlfn.IFNA(VLOOKUP(B12,Päästökertoimet!$J$101:$N$145,2,FALSE),"-")</f>
        <v>-</v>
      </c>
      <c r="H12" s="7" t="str">
        <f>_xlfn.IFNA(VLOOKUP(B12,Päästökertoimet!$J$101:$N$145,3,FALSE),"-")</f>
        <v>-</v>
      </c>
      <c r="I12" s="7" t="str">
        <f>_xlfn.IFNA(VLOOKUP(B12,Päästökertoimet!$J$101:$N$145,4,FALSE),"-")</f>
        <v>-</v>
      </c>
      <c r="J12" s="7" t="str">
        <f>_xlfn.IFNA(VLOOKUP(B12,Päästökertoimet!$J$101:$N$145,5,FALSE),"-")</f>
        <v>-</v>
      </c>
      <c r="K12" s="23">
        <f t="shared" si="0"/>
        <v>0</v>
      </c>
    </row>
    <row r="13" spans="2:11" x14ac:dyDescent="0.25">
      <c r="B13" s="22"/>
      <c r="C13" s="27"/>
      <c r="D13" s="27"/>
      <c r="E13" s="27"/>
      <c r="F13" s="27"/>
      <c r="G13" s="7" t="str">
        <f>_xlfn.IFNA(VLOOKUP(B13,Päästökertoimet!$J$101:$N$145,2,FALSE),"-")</f>
        <v>-</v>
      </c>
      <c r="H13" s="7" t="str">
        <f>_xlfn.IFNA(VLOOKUP(B13,Päästökertoimet!$J$101:$N$145,3,FALSE),"-")</f>
        <v>-</v>
      </c>
      <c r="I13" s="7" t="str">
        <f>_xlfn.IFNA(VLOOKUP(B13,Päästökertoimet!$J$101:$N$145,4,FALSE),"-")</f>
        <v>-</v>
      </c>
      <c r="J13" s="7" t="str">
        <f>_xlfn.IFNA(VLOOKUP(B13,Päästökertoimet!$J$101:$N$145,5,FALSE),"-")</f>
        <v>-</v>
      </c>
      <c r="K13" s="23">
        <f t="shared" si="0"/>
        <v>0</v>
      </c>
    </row>
    <row r="14" spans="2:11" x14ac:dyDescent="0.25">
      <c r="B14" s="22"/>
      <c r="C14" s="27"/>
      <c r="D14" s="27"/>
      <c r="E14" s="27"/>
      <c r="F14" s="27"/>
      <c r="G14" s="7" t="str">
        <f>_xlfn.IFNA(VLOOKUP(B14,Päästökertoimet!$J$101:$N$145,2,FALSE),"-")</f>
        <v>-</v>
      </c>
      <c r="H14" s="7" t="str">
        <f>_xlfn.IFNA(VLOOKUP(B14,Päästökertoimet!$J$101:$N$145,3,FALSE),"-")</f>
        <v>-</v>
      </c>
      <c r="I14" s="7" t="str">
        <f>_xlfn.IFNA(VLOOKUP(B14,Päästökertoimet!$J$101:$N$145,4,FALSE),"-")</f>
        <v>-</v>
      </c>
      <c r="J14" s="7" t="str">
        <f>_xlfn.IFNA(VLOOKUP(B14,Päästökertoimet!$J$101:$N$145,5,FALSE),"-")</f>
        <v>-</v>
      </c>
      <c r="K14" s="23">
        <f t="shared" si="0"/>
        <v>0</v>
      </c>
    </row>
    <row r="15" spans="2:11" x14ac:dyDescent="0.25">
      <c r="B15" s="22"/>
      <c r="C15" s="27"/>
      <c r="D15" s="27"/>
      <c r="E15" s="27"/>
      <c r="F15" s="27"/>
      <c r="G15" s="7" t="str">
        <f>_xlfn.IFNA(VLOOKUP(B15,Päästökertoimet!$J$101:$N$145,2,FALSE),"-")</f>
        <v>-</v>
      </c>
      <c r="H15" s="7" t="str">
        <f>_xlfn.IFNA(VLOOKUP(B15,Päästökertoimet!$J$101:$N$145,3,FALSE),"-")</f>
        <v>-</v>
      </c>
      <c r="I15" s="7" t="str">
        <f>_xlfn.IFNA(VLOOKUP(B15,Päästökertoimet!$J$101:$N$145,4,FALSE),"-")</f>
        <v>-</v>
      </c>
      <c r="J15" s="7" t="str">
        <f>_xlfn.IFNA(VLOOKUP(B15,Päästökertoimet!$J$101:$N$145,5,FALSE),"-")</f>
        <v>-</v>
      </c>
      <c r="K15" s="23">
        <f t="shared" si="0"/>
        <v>0</v>
      </c>
    </row>
    <row r="16" spans="2:11" x14ac:dyDescent="0.25">
      <c r="B16" s="22"/>
      <c r="C16" s="27"/>
      <c r="D16" s="27"/>
      <c r="E16" s="27"/>
      <c r="F16" s="27"/>
      <c r="G16" s="7" t="str">
        <f>_xlfn.IFNA(VLOOKUP(B16,Päästökertoimet!$J$101:$N$145,2,FALSE),"-")</f>
        <v>-</v>
      </c>
      <c r="H16" s="7" t="str">
        <f>_xlfn.IFNA(VLOOKUP(B16,Päästökertoimet!$J$101:$N$145,3,FALSE),"-")</f>
        <v>-</v>
      </c>
      <c r="I16" s="7" t="str">
        <f>_xlfn.IFNA(VLOOKUP(B16,Päästökertoimet!$J$101:$N$145,4,FALSE),"-")</f>
        <v>-</v>
      </c>
      <c r="J16" s="7" t="str">
        <f>_xlfn.IFNA(VLOOKUP(B16,Päästökertoimet!$J$101:$N$145,5,FALSE),"-")</f>
        <v>-</v>
      </c>
      <c r="K16" s="23">
        <f t="shared" si="0"/>
        <v>0</v>
      </c>
    </row>
    <row r="17" spans="2:11" x14ac:dyDescent="0.25">
      <c r="B17" s="22"/>
      <c r="C17" s="27"/>
      <c r="D17" s="27"/>
      <c r="E17" s="27"/>
      <c r="F17" s="27"/>
      <c r="G17" s="7" t="str">
        <f>_xlfn.IFNA(VLOOKUP(B17,Päästökertoimet!$J$101:$N$145,2,FALSE),"-")</f>
        <v>-</v>
      </c>
      <c r="H17" s="7" t="str">
        <f>_xlfn.IFNA(VLOOKUP(B17,Päästökertoimet!$J$101:$N$145,3,FALSE),"-")</f>
        <v>-</v>
      </c>
      <c r="I17" s="7" t="str">
        <f>_xlfn.IFNA(VLOOKUP(B17,Päästökertoimet!$J$101:$N$145,4,FALSE),"-")</f>
        <v>-</v>
      </c>
      <c r="J17" s="7" t="str">
        <f>_xlfn.IFNA(VLOOKUP(B17,Päästökertoimet!$J$101:$N$145,5,FALSE),"-")</f>
        <v>-</v>
      </c>
      <c r="K17" s="23">
        <f t="shared" si="0"/>
        <v>0</v>
      </c>
    </row>
    <row r="18" spans="2:11" x14ac:dyDescent="0.25">
      <c r="B18" s="22"/>
      <c r="C18" s="27"/>
      <c r="D18" s="27"/>
      <c r="E18" s="27"/>
      <c r="F18" s="27"/>
      <c r="G18" s="7" t="str">
        <f>_xlfn.IFNA(VLOOKUP(B18,Päästökertoimet!$J$101:$N$145,2,FALSE),"-")</f>
        <v>-</v>
      </c>
      <c r="H18" s="7" t="str">
        <f>_xlfn.IFNA(VLOOKUP(B18,Päästökertoimet!$J$101:$N$145,3,FALSE),"-")</f>
        <v>-</v>
      </c>
      <c r="I18" s="7" t="str">
        <f>_xlfn.IFNA(VLOOKUP(B18,Päästökertoimet!$J$101:$N$145,4,FALSE),"-")</f>
        <v>-</v>
      </c>
      <c r="J18" s="7" t="str">
        <f>_xlfn.IFNA(VLOOKUP(B18,Päästökertoimet!$J$101:$N$145,5,FALSE),"-")</f>
        <v>-</v>
      </c>
      <c r="K18" s="23">
        <f t="shared" si="0"/>
        <v>0</v>
      </c>
    </row>
    <row r="19" spans="2:11" x14ac:dyDescent="0.25">
      <c r="B19" s="112"/>
      <c r="C19" s="113"/>
      <c r="D19" s="113"/>
      <c r="E19" s="113"/>
      <c r="F19" s="113"/>
      <c r="G19" s="113"/>
      <c r="H19" s="113"/>
      <c r="I19" s="113"/>
      <c r="J19" s="113"/>
      <c r="K19" s="23">
        <f t="shared" si="0"/>
        <v>0</v>
      </c>
    </row>
    <row r="20" spans="2:11" x14ac:dyDescent="0.25">
      <c r="B20" s="112"/>
      <c r="C20" s="113"/>
      <c r="D20" s="113"/>
      <c r="E20" s="113"/>
      <c r="F20" s="113"/>
      <c r="G20" s="113"/>
      <c r="H20" s="113"/>
      <c r="I20" s="113"/>
      <c r="J20" s="113"/>
      <c r="K20" s="23">
        <f t="shared" si="0"/>
        <v>0</v>
      </c>
    </row>
    <row r="21" spans="2:11" ht="15.75" thickBot="1" x14ac:dyDescent="0.3">
      <c r="B21" s="114"/>
      <c r="C21" s="115"/>
      <c r="D21" s="115"/>
      <c r="E21" s="115"/>
      <c r="F21" s="123"/>
      <c r="G21" s="115"/>
      <c r="H21" s="115"/>
      <c r="I21" s="115"/>
      <c r="J21" s="115"/>
      <c r="K21" s="24">
        <f t="shared" si="0"/>
        <v>0</v>
      </c>
    </row>
    <row r="24" spans="2:11" x14ac:dyDescent="0.25">
      <c r="B24" s="137" t="s">
        <v>620</v>
      </c>
      <c r="C24" s="137"/>
      <c r="D24" s="137"/>
      <c r="E24" s="137"/>
      <c r="F24" s="137"/>
      <c r="G24" s="137"/>
      <c r="H24" s="137"/>
      <c r="I24" s="137"/>
      <c r="J24" s="137"/>
      <c r="K24" s="137"/>
    </row>
    <row r="25" spans="2:11" ht="15.75" thickBot="1" x14ac:dyDescent="0.3">
      <c r="B25" s="138"/>
      <c r="C25" s="138"/>
      <c r="D25" s="138"/>
      <c r="E25" s="138"/>
      <c r="F25" s="138"/>
      <c r="G25" s="138"/>
      <c r="H25" s="138"/>
      <c r="I25" s="138"/>
      <c r="J25" s="138"/>
      <c r="K25" s="138"/>
    </row>
    <row r="26" spans="2:11" ht="19.5" thickBot="1" x14ac:dyDescent="0.4">
      <c r="B26" s="10" t="s">
        <v>595</v>
      </c>
      <c r="C26" s="10" t="s">
        <v>597</v>
      </c>
      <c r="D26" s="10" t="s">
        <v>598</v>
      </c>
      <c r="E26" s="10" t="s">
        <v>599</v>
      </c>
      <c r="F26" s="99" t="s">
        <v>600</v>
      </c>
      <c r="G26" s="10" t="s">
        <v>58</v>
      </c>
      <c r="H26" s="10" t="s">
        <v>601</v>
      </c>
      <c r="I26" s="10" t="s">
        <v>602</v>
      </c>
      <c r="J26" s="10" t="s">
        <v>603</v>
      </c>
      <c r="K26" s="10" t="s">
        <v>60</v>
      </c>
    </row>
    <row r="27" spans="2:11" x14ac:dyDescent="0.25">
      <c r="B27" s="58"/>
      <c r="C27" s="34"/>
      <c r="D27" s="34"/>
      <c r="E27" s="34"/>
      <c r="F27" s="42"/>
      <c r="G27" s="98" t="str">
        <f>_xlfn.IFNA(VLOOKUP(B27,Päästökertoimet!$J$149:$M$163,2,FALSE),"-")</f>
        <v>-</v>
      </c>
      <c r="H27" s="98" t="str">
        <f>_xlfn.IFNA(VLOOKUP(B27,Päästökertoimet!$J$149:$M$163,3,FALSE),"-")</f>
        <v>-</v>
      </c>
      <c r="I27" s="98" t="str">
        <f>_xlfn.IFNA(VLOOKUP(B27,Päästökertoimet!$J$149:$M$163,4,FALSE),"-")</f>
        <v>-</v>
      </c>
      <c r="J27" s="13" t="str">
        <f>_xlfn.IFNA(VLOOKUP(B27,Päästökertoimet!$J$149:$N$163,5,FALSE),"-")</f>
        <v>-</v>
      </c>
      <c r="K27" s="23">
        <f>IFERROR(E27*I27,0)+IFERROR(F27*J27,0)+IFERROR(D27*H27,0)+IFERROR(C27*G27,0)</f>
        <v>0</v>
      </c>
    </row>
    <row r="28" spans="2:11" x14ac:dyDescent="0.25">
      <c r="B28" s="58"/>
      <c r="C28" s="27"/>
      <c r="D28" s="27"/>
      <c r="E28" s="27"/>
      <c r="F28" s="43"/>
      <c r="G28" s="96" t="str">
        <f>_xlfn.IFNA(VLOOKUP(B28,Päästökertoimet!$J$149:$M$163,2,FALSE),"-")</f>
        <v>-</v>
      </c>
      <c r="H28" s="96" t="str">
        <f>_xlfn.IFNA(VLOOKUP(B28,Päästökertoimet!$J$149:$M$163,3,FALSE),"-")</f>
        <v>-</v>
      </c>
      <c r="I28" s="96" t="str">
        <f>_xlfn.IFNA(VLOOKUP(B28,Päästökertoimet!$J$149:$M$163,4,FALSE),"-")</f>
        <v>-</v>
      </c>
      <c r="J28" s="7" t="str">
        <f>_xlfn.IFNA(VLOOKUP(B28,Päästökertoimet!$J$149:$N$163,5,FALSE),"-")</f>
        <v>-</v>
      </c>
      <c r="K28" s="23">
        <f t="shared" ref="K28:K37" si="1">IFERROR(E28*I28,0)+IFERROR(F28*J28,0)+IFERROR(D28*H28,0)+IFERROR(C28*G28,0)</f>
        <v>0</v>
      </c>
    </row>
    <row r="29" spans="2:11" x14ac:dyDescent="0.25">
      <c r="B29" s="58"/>
      <c r="C29" s="27"/>
      <c r="D29" s="27"/>
      <c r="E29" s="27"/>
      <c r="F29" s="43"/>
      <c r="G29" s="96" t="str">
        <f>_xlfn.IFNA(VLOOKUP(B29,Päästökertoimet!$J$149:$M$163,2,FALSE),"-")</f>
        <v>-</v>
      </c>
      <c r="H29" s="96" t="str">
        <f>_xlfn.IFNA(VLOOKUP(B29,Päästökertoimet!$J$149:$M$163,3,FALSE),"-")</f>
        <v>-</v>
      </c>
      <c r="I29" s="96" t="str">
        <f>_xlfn.IFNA(VLOOKUP(B29,Päästökertoimet!$J$149:$M$163,4,FALSE),"-")</f>
        <v>-</v>
      </c>
      <c r="J29" s="7" t="str">
        <f>_xlfn.IFNA(VLOOKUP(B29,Päästökertoimet!$J$149:$N$163,5,FALSE),"-")</f>
        <v>-</v>
      </c>
      <c r="K29" s="23">
        <f t="shared" si="1"/>
        <v>0</v>
      </c>
    </row>
    <row r="30" spans="2:11" x14ac:dyDescent="0.25">
      <c r="B30" s="58"/>
      <c r="C30" s="27"/>
      <c r="D30" s="27"/>
      <c r="E30" s="27"/>
      <c r="F30" s="43"/>
      <c r="G30" s="96" t="str">
        <f>_xlfn.IFNA(VLOOKUP(B30,Päästökertoimet!$J$149:$M$163,2,FALSE),"-")</f>
        <v>-</v>
      </c>
      <c r="H30" s="96" t="str">
        <f>_xlfn.IFNA(VLOOKUP(B30,Päästökertoimet!$J$149:$M$163,3,FALSE),"-")</f>
        <v>-</v>
      </c>
      <c r="I30" s="96" t="str">
        <f>_xlfn.IFNA(VLOOKUP(B30,Päästökertoimet!$J$149:$M$163,4,FALSE),"-")</f>
        <v>-</v>
      </c>
      <c r="J30" s="7" t="str">
        <f>_xlfn.IFNA(VLOOKUP(B30,Päästökertoimet!$J$149:$N$163,5,FALSE),"-")</f>
        <v>-</v>
      </c>
      <c r="K30" s="23">
        <f t="shared" si="1"/>
        <v>0</v>
      </c>
    </row>
    <row r="31" spans="2:11" x14ac:dyDescent="0.25">
      <c r="B31" s="58"/>
      <c r="C31" s="27"/>
      <c r="D31" s="27"/>
      <c r="E31" s="27"/>
      <c r="F31" s="43"/>
      <c r="G31" s="96" t="str">
        <f>_xlfn.IFNA(VLOOKUP(B31,Päästökertoimet!$J$149:$M$163,2,FALSE),"-")</f>
        <v>-</v>
      </c>
      <c r="H31" s="96" t="str">
        <f>_xlfn.IFNA(VLOOKUP(B31,Päästökertoimet!$J$149:$M$163,3,FALSE),"-")</f>
        <v>-</v>
      </c>
      <c r="I31" s="96" t="str">
        <f>_xlfn.IFNA(VLOOKUP(B31,Päästökertoimet!$J$149:$M$163,4,FALSE),"-")</f>
        <v>-</v>
      </c>
      <c r="J31" s="7" t="str">
        <f>_xlfn.IFNA(VLOOKUP(B31,Päästökertoimet!$J$149:$N$163,5,FALSE),"-")</f>
        <v>-</v>
      </c>
      <c r="K31" s="23">
        <f t="shared" si="1"/>
        <v>0</v>
      </c>
    </row>
    <row r="32" spans="2:11" x14ac:dyDescent="0.25">
      <c r="B32" s="58"/>
      <c r="C32" s="27"/>
      <c r="D32" s="27"/>
      <c r="E32" s="27"/>
      <c r="F32" s="43"/>
      <c r="G32" s="96" t="str">
        <f>_xlfn.IFNA(VLOOKUP(B32,Päästökertoimet!$J$149:$M$163,2,FALSE),"-")</f>
        <v>-</v>
      </c>
      <c r="H32" s="96" t="str">
        <f>_xlfn.IFNA(VLOOKUP(B32,Päästökertoimet!$J$149:$M$163,3,FALSE),"-")</f>
        <v>-</v>
      </c>
      <c r="I32" s="96" t="str">
        <f>_xlfn.IFNA(VLOOKUP(B32,Päästökertoimet!$J$149:$M$163,4,FALSE),"-")</f>
        <v>-</v>
      </c>
      <c r="J32" s="7" t="str">
        <f>_xlfn.IFNA(VLOOKUP(B32,Päästökertoimet!$J$149:$N$163,5,FALSE),"-")</f>
        <v>-</v>
      </c>
      <c r="K32" s="23">
        <f t="shared" si="1"/>
        <v>0</v>
      </c>
    </row>
    <row r="33" spans="2:11" x14ac:dyDescent="0.25">
      <c r="B33" s="58"/>
      <c r="C33" s="27"/>
      <c r="D33" s="27"/>
      <c r="E33" s="27"/>
      <c r="F33" s="43"/>
      <c r="G33" s="96" t="str">
        <f>_xlfn.IFNA(VLOOKUP(B33,Päästökertoimet!$J$149:$M$163,2,FALSE),"-")</f>
        <v>-</v>
      </c>
      <c r="H33" s="96" t="str">
        <f>_xlfn.IFNA(VLOOKUP(B33,Päästökertoimet!$J$149:$M$163,3,FALSE),"-")</f>
        <v>-</v>
      </c>
      <c r="I33" s="96" t="str">
        <f>_xlfn.IFNA(VLOOKUP(B33,Päästökertoimet!$J$149:$M$163,4,FALSE),"-")</f>
        <v>-</v>
      </c>
      <c r="J33" s="7" t="str">
        <f>_xlfn.IFNA(VLOOKUP(B33,Päästökertoimet!$J$149:$N$163,5,FALSE),"-")</f>
        <v>-</v>
      </c>
      <c r="K33" s="23">
        <f t="shared" si="1"/>
        <v>0</v>
      </c>
    </row>
    <row r="34" spans="2:11" x14ac:dyDescent="0.25">
      <c r="B34" s="58"/>
      <c r="C34" s="27"/>
      <c r="D34" s="27"/>
      <c r="E34" s="27"/>
      <c r="F34" s="43"/>
      <c r="G34" s="96" t="str">
        <f>_xlfn.IFNA(VLOOKUP(B34,Päästökertoimet!$J$149:$M$163,2,FALSE),"-")</f>
        <v>-</v>
      </c>
      <c r="H34" s="96" t="str">
        <f>_xlfn.IFNA(VLOOKUP(B34,Päästökertoimet!$J$149:$M$163,3,FALSE),"-")</f>
        <v>-</v>
      </c>
      <c r="I34" s="96" t="str">
        <f>_xlfn.IFNA(VLOOKUP(B34,Päästökertoimet!$J$149:$M$163,4,FALSE),"-")</f>
        <v>-</v>
      </c>
      <c r="J34" s="7" t="str">
        <f>_xlfn.IFNA(VLOOKUP(B34,Päästökertoimet!$J$149:$N$163,5,FALSE),"-")</f>
        <v>-</v>
      </c>
      <c r="K34" s="23">
        <f t="shared" si="1"/>
        <v>0</v>
      </c>
    </row>
    <row r="35" spans="2:11" x14ac:dyDescent="0.25">
      <c r="B35" s="112"/>
      <c r="C35" s="113"/>
      <c r="D35" s="113"/>
      <c r="E35" s="113"/>
      <c r="F35" s="113"/>
      <c r="G35" s="113"/>
      <c r="H35" s="113"/>
      <c r="I35" s="113"/>
      <c r="J35" s="113"/>
      <c r="K35" s="23">
        <f t="shared" si="1"/>
        <v>0</v>
      </c>
    </row>
    <row r="36" spans="2:11" x14ac:dyDescent="0.25">
      <c r="B36" s="112"/>
      <c r="C36" s="113"/>
      <c r="D36" s="113"/>
      <c r="E36" s="113"/>
      <c r="F36" s="113"/>
      <c r="G36" s="113"/>
      <c r="H36" s="113"/>
      <c r="I36" s="113"/>
      <c r="J36" s="113"/>
      <c r="K36" s="23">
        <f t="shared" si="1"/>
        <v>0</v>
      </c>
    </row>
    <row r="37" spans="2:11" ht="15.75" thickBot="1" x14ac:dyDescent="0.3">
      <c r="B37" s="114"/>
      <c r="C37" s="115"/>
      <c r="D37" s="115"/>
      <c r="E37" s="115"/>
      <c r="F37" s="123"/>
      <c r="G37" s="115"/>
      <c r="H37" s="115"/>
      <c r="I37" s="115"/>
      <c r="J37" s="115"/>
      <c r="K37" s="24">
        <f t="shared" si="1"/>
        <v>0</v>
      </c>
    </row>
    <row r="40" spans="2:11" x14ac:dyDescent="0.25">
      <c r="B40" s="137" t="s">
        <v>734</v>
      </c>
      <c r="C40" s="137"/>
      <c r="D40" s="137"/>
      <c r="E40" s="137"/>
      <c r="F40" s="137"/>
      <c r="G40" s="137"/>
      <c r="H40" s="137"/>
      <c r="I40" s="137"/>
      <c r="J40" s="137"/>
      <c r="K40" s="137"/>
    </row>
    <row r="41" spans="2:11" ht="15.75" thickBot="1" x14ac:dyDescent="0.3">
      <c r="B41" s="138"/>
      <c r="C41" s="138"/>
      <c r="D41" s="138"/>
      <c r="E41" s="138"/>
      <c r="F41" s="138"/>
      <c r="G41" s="138"/>
      <c r="H41" s="138"/>
      <c r="I41" s="138"/>
      <c r="J41" s="138"/>
      <c r="K41" s="138"/>
    </row>
    <row r="42" spans="2:11" ht="19.5" thickBot="1" x14ac:dyDescent="0.4">
      <c r="B42" s="10" t="s">
        <v>595</v>
      </c>
      <c r="C42" s="10" t="s">
        <v>597</v>
      </c>
      <c r="D42" s="10" t="s">
        <v>598</v>
      </c>
      <c r="E42" s="10" t="s">
        <v>599</v>
      </c>
      <c r="F42" s="99" t="s">
        <v>600</v>
      </c>
      <c r="G42" s="10" t="s">
        <v>58</v>
      </c>
      <c r="H42" s="10" t="s">
        <v>601</v>
      </c>
      <c r="I42" s="10" t="s">
        <v>602</v>
      </c>
      <c r="J42" s="10" t="s">
        <v>603</v>
      </c>
      <c r="K42" s="10" t="s">
        <v>60</v>
      </c>
    </row>
    <row r="43" spans="2:11" x14ac:dyDescent="0.25">
      <c r="B43" s="58"/>
      <c r="C43" s="34"/>
      <c r="D43" s="34"/>
      <c r="E43" s="34"/>
      <c r="F43" s="42"/>
      <c r="G43" s="13" t="str">
        <f>_xlfn.IFNA(VLOOKUP(B43,Päästökertoimet!$J$167:$N$265,2,FALSE),"-")</f>
        <v>-</v>
      </c>
      <c r="H43" s="13" t="str">
        <f>_xlfn.IFNA(VLOOKUP(B43,Päästökertoimet!$J$167:$N$265,3,FALSE),"-")</f>
        <v>-</v>
      </c>
      <c r="I43" s="13" t="str">
        <f>_xlfn.IFNA(VLOOKUP(B43,Päästökertoimet!$J$167:$N$265,4,FALSE),"-")</f>
        <v>-</v>
      </c>
      <c r="J43" s="13" t="str">
        <f>_xlfn.IFNA(VLOOKUP(B43,Päästökertoimet!$J$167:$N$265,5,FALSE),"-")</f>
        <v>-</v>
      </c>
      <c r="K43" s="23">
        <f>IFERROR(E43*I43,0)+IFERROR(F43*J43,0)+IFERROR(D43*H43,0)+IFERROR(C43*G43,0)</f>
        <v>0</v>
      </c>
    </row>
    <row r="44" spans="2:11" x14ac:dyDescent="0.25">
      <c r="B44" s="58"/>
      <c r="C44" s="27"/>
      <c r="D44" s="27"/>
      <c r="E44" s="27"/>
      <c r="F44" s="43"/>
      <c r="G44" s="7" t="str">
        <f>_xlfn.IFNA(VLOOKUP(B44,Päästökertoimet!$J$167:$N$265,2,FALSE),"-")</f>
        <v>-</v>
      </c>
      <c r="H44" s="7" t="str">
        <f>_xlfn.IFNA(VLOOKUP(B44,Päästökertoimet!$J$167:$N$265,3,FALSE),"-")</f>
        <v>-</v>
      </c>
      <c r="I44" s="7" t="str">
        <f>_xlfn.IFNA(VLOOKUP(B44,Päästökertoimet!$J$167:$N$265,4,FALSE),"-")</f>
        <v>-</v>
      </c>
      <c r="J44" s="7" t="str">
        <f>_xlfn.IFNA(VLOOKUP(B44,Päästökertoimet!$J$167:$N$265,5,FALSE),"-")</f>
        <v>-</v>
      </c>
      <c r="K44" s="23">
        <f t="shared" ref="K44:K53" si="2">IFERROR(E44*I44,0)+IFERROR(F44*J44,0)+IFERROR(D44*H44,0)+IFERROR(C44*G44,0)</f>
        <v>0</v>
      </c>
    </row>
    <row r="45" spans="2:11" x14ac:dyDescent="0.25">
      <c r="B45" s="58"/>
      <c r="C45" s="27"/>
      <c r="D45" s="27"/>
      <c r="E45" s="27"/>
      <c r="F45" s="43"/>
      <c r="G45" s="7" t="str">
        <f>_xlfn.IFNA(VLOOKUP(B45,Päästökertoimet!$J$167:$N$265,2,FALSE),"-")</f>
        <v>-</v>
      </c>
      <c r="H45" s="7" t="str">
        <f>_xlfn.IFNA(VLOOKUP(B45,Päästökertoimet!$J$167:$N$265,3,FALSE),"-")</f>
        <v>-</v>
      </c>
      <c r="I45" s="7" t="str">
        <f>_xlfn.IFNA(VLOOKUP(B45,Päästökertoimet!$J$167:$N$265,4,FALSE),"-")</f>
        <v>-</v>
      </c>
      <c r="J45" s="7" t="str">
        <f>_xlfn.IFNA(VLOOKUP(B45,Päästökertoimet!$J$167:$N$265,5,FALSE),"-")</f>
        <v>-</v>
      </c>
      <c r="K45" s="23">
        <f t="shared" si="2"/>
        <v>0</v>
      </c>
    </row>
    <row r="46" spans="2:11" x14ac:dyDescent="0.25">
      <c r="B46" s="58"/>
      <c r="C46" s="27"/>
      <c r="D46" s="27"/>
      <c r="E46" s="27"/>
      <c r="F46" s="43"/>
      <c r="G46" s="7" t="str">
        <f>_xlfn.IFNA(VLOOKUP(B46,Päästökertoimet!$J$167:$N$265,2,FALSE),"-")</f>
        <v>-</v>
      </c>
      <c r="H46" s="7" t="str">
        <f>_xlfn.IFNA(VLOOKUP(B46,Päästökertoimet!$J$167:$N$265,3,FALSE),"-")</f>
        <v>-</v>
      </c>
      <c r="I46" s="7" t="str">
        <f>_xlfn.IFNA(VLOOKUP(B46,Päästökertoimet!$J$167:$N$265,4,FALSE),"-")</f>
        <v>-</v>
      </c>
      <c r="J46" s="7" t="str">
        <f>_xlfn.IFNA(VLOOKUP(B46,Päästökertoimet!$J$167:$N$265,5,FALSE),"-")</f>
        <v>-</v>
      </c>
      <c r="K46" s="23">
        <f t="shared" si="2"/>
        <v>0</v>
      </c>
    </row>
    <row r="47" spans="2:11" x14ac:dyDescent="0.25">
      <c r="B47" s="58"/>
      <c r="C47" s="27"/>
      <c r="D47" s="27"/>
      <c r="E47" s="27"/>
      <c r="F47" s="43"/>
      <c r="G47" s="7" t="str">
        <f>_xlfn.IFNA(VLOOKUP(B47,Päästökertoimet!$J$167:$N$265,2,FALSE),"-")</f>
        <v>-</v>
      </c>
      <c r="H47" s="7" t="str">
        <f>_xlfn.IFNA(VLOOKUP(B47,Päästökertoimet!$J$167:$N$265,3,FALSE),"-")</f>
        <v>-</v>
      </c>
      <c r="I47" s="7" t="str">
        <f>_xlfn.IFNA(VLOOKUP(B47,Päästökertoimet!$J$167:$N$265,4,FALSE),"-")</f>
        <v>-</v>
      </c>
      <c r="J47" s="7" t="str">
        <f>_xlfn.IFNA(VLOOKUP(B47,Päästökertoimet!$J$167:$N$265,5,FALSE),"-")</f>
        <v>-</v>
      </c>
      <c r="K47" s="23">
        <f t="shared" si="2"/>
        <v>0</v>
      </c>
    </row>
    <row r="48" spans="2:11" x14ac:dyDescent="0.25">
      <c r="B48" s="58"/>
      <c r="C48" s="27"/>
      <c r="D48" s="27"/>
      <c r="E48" s="27"/>
      <c r="F48" s="43"/>
      <c r="G48" s="7" t="str">
        <f>_xlfn.IFNA(VLOOKUP(B48,Päästökertoimet!$J$167:$N$265,2,FALSE),"-")</f>
        <v>-</v>
      </c>
      <c r="H48" s="7" t="str">
        <f>_xlfn.IFNA(VLOOKUP(B48,Päästökertoimet!$J$167:$N$265,3,FALSE),"-")</f>
        <v>-</v>
      </c>
      <c r="I48" s="7" t="str">
        <f>_xlfn.IFNA(VLOOKUP(B48,Päästökertoimet!$J$167:$N$265,4,FALSE),"-")</f>
        <v>-</v>
      </c>
      <c r="J48" s="7" t="str">
        <f>_xlfn.IFNA(VLOOKUP(B48,Päästökertoimet!$J$167:$N$265,5,FALSE),"-")</f>
        <v>-</v>
      </c>
      <c r="K48" s="23">
        <f t="shared" si="2"/>
        <v>0</v>
      </c>
    </row>
    <row r="49" spans="2:11" x14ac:dyDescent="0.25">
      <c r="B49" s="58"/>
      <c r="C49" s="27"/>
      <c r="D49" s="27"/>
      <c r="E49" s="27"/>
      <c r="F49" s="43"/>
      <c r="G49" s="7" t="str">
        <f>_xlfn.IFNA(VLOOKUP(B49,Päästökertoimet!$J$167:$N$265,2,FALSE),"-")</f>
        <v>-</v>
      </c>
      <c r="H49" s="7" t="str">
        <f>_xlfn.IFNA(VLOOKUP(B49,Päästökertoimet!$J$167:$N$265,3,FALSE),"-")</f>
        <v>-</v>
      </c>
      <c r="I49" s="7" t="str">
        <f>_xlfn.IFNA(VLOOKUP(B49,Päästökertoimet!$J$167:$N$265,4,FALSE),"-")</f>
        <v>-</v>
      </c>
      <c r="J49" s="7" t="str">
        <f>_xlfn.IFNA(VLOOKUP(B49,Päästökertoimet!$J$167:$N$265,5,FALSE),"-")</f>
        <v>-</v>
      </c>
      <c r="K49" s="23">
        <f t="shared" si="2"/>
        <v>0</v>
      </c>
    </row>
    <row r="50" spans="2:11" x14ac:dyDescent="0.25">
      <c r="B50" s="58"/>
      <c r="C50" s="27"/>
      <c r="D50" s="27"/>
      <c r="E50" s="27"/>
      <c r="F50" s="43"/>
      <c r="G50" s="7" t="str">
        <f>_xlfn.IFNA(VLOOKUP(B50,Päästökertoimet!$J$167:$N$265,2,FALSE),"-")</f>
        <v>-</v>
      </c>
      <c r="H50" s="7" t="str">
        <f>_xlfn.IFNA(VLOOKUP(B50,Päästökertoimet!$J$167:$N$265,3,FALSE),"-")</f>
        <v>-</v>
      </c>
      <c r="I50" s="7" t="str">
        <f>_xlfn.IFNA(VLOOKUP(B50,Päästökertoimet!$J$167:$N$265,4,FALSE),"-")</f>
        <v>-</v>
      </c>
      <c r="J50" s="7" t="str">
        <f>_xlfn.IFNA(VLOOKUP(B50,Päästökertoimet!$J$167:$N$265,5,FALSE),"-")</f>
        <v>-</v>
      </c>
      <c r="K50" s="23">
        <f t="shared" si="2"/>
        <v>0</v>
      </c>
    </row>
    <row r="51" spans="2:11" x14ac:dyDescent="0.25">
      <c r="B51" s="112"/>
      <c r="C51" s="113"/>
      <c r="D51" s="113"/>
      <c r="E51" s="113"/>
      <c r="F51" s="113"/>
      <c r="G51" s="113"/>
      <c r="H51" s="113"/>
      <c r="I51" s="113"/>
      <c r="J51" s="113"/>
      <c r="K51" s="23">
        <f t="shared" si="2"/>
        <v>0</v>
      </c>
    </row>
    <row r="52" spans="2:11" x14ac:dyDescent="0.25">
      <c r="B52" s="112"/>
      <c r="C52" s="113"/>
      <c r="D52" s="113"/>
      <c r="E52" s="113"/>
      <c r="F52" s="113"/>
      <c r="G52" s="113"/>
      <c r="H52" s="113"/>
      <c r="I52" s="113"/>
      <c r="J52" s="113"/>
      <c r="K52" s="23">
        <f t="shared" si="2"/>
        <v>0</v>
      </c>
    </row>
    <row r="53" spans="2:11" ht="15.75" thickBot="1" x14ac:dyDescent="0.3">
      <c r="B53" s="114"/>
      <c r="C53" s="115"/>
      <c r="D53" s="115"/>
      <c r="E53" s="115"/>
      <c r="F53" s="123"/>
      <c r="G53" s="115"/>
      <c r="H53" s="115"/>
      <c r="I53" s="115"/>
      <c r="J53" s="115"/>
      <c r="K53" s="24">
        <f t="shared" si="2"/>
        <v>0</v>
      </c>
    </row>
    <row r="56" spans="2:11" x14ac:dyDescent="0.25">
      <c r="B56" s="137" t="s">
        <v>735</v>
      </c>
      <c r="C56" s="137"/>
      <c r="D56" s="137"/>
      <c r="E56" s="137"/>
      <c r="F56" s="137"/>
      <c r="G56" s="137"/>
      <c r="H56" s="137"/>
      <c r="I56" s="137"/>
      <c r="J56" s="137"/>
      <c r="K56" s="137"/>
    </row>
    <row r="57" spans="2:11" ht="15.75" thickBot="1" x14ac:dyDescent="0.3">
      <c r="B57" s="138"/>
      <c r="C57" s="138"/>
      <c r="D57" s="138"/>
      <c r="E57" s="138"/>
      <c r="F57" s="138"/>
      <c r="G57" s="138"/>
      <c r="H57" s="138"/>
      <c r="I57" s="138"/>
      <c r="J57" s="138"/>
      <c r="K57" s="138"/>
    </row>
    <row r="58" spans="2:11" ht="19.5" thickBot="1" x14ac:dyDescent="0.4">
      <c r="B58" s="10" t="s">
        <v>595</v>
      </c>
      <c r="C58" s="10" t="s">
        <v>597</v>
      </c>
      <c r="D58" s="10" t="s">
        <v>598</v>
      </c>
      <c r="E58" s="10" t="s">
        <v>599</v>
      </c>
      <c r="F58" s="99" t="s">
        <v>600</v>
      </c>
      <c r="G58" s="10" t="s">
        <v>58</v>
      </c>
      <c r="H58" s="10" t="s">
        <v>601</v>
      </c>
      <c r="I58" s="10" t="s">
        <v>602</v>
      </c>
      <c r="J58" s="10" t="s">
        <v>603</v>
      </c>
      <c r="K58" s="10" t="s">
        <v>60</v>
      </c>
    </row>
    <row r="59" spans="2:11" x14ac:dyDescent="0.25">
      <c r="B59" s="58"/>
      <c r="C59" s="34"/>
      <c r="D59" s="34"/>
      <c r="E59" s="34"/>
      <c r="F59" s="42"/>
      <c r="G59" s="7" t="str">
        <f>_xlfn.IFNA(VLOOKUP(B59,Päästökertoimet!$T$111:$Y$162,2,FALSE),"-")</f>
        <v>-</v>
      </c>
      <c r="H59" s="7" t="str">
        <f>_xlfn.IFNA(VLOOKUP(B59,Päästökertoimet!$T$111:$Y$162,3,FALSE),"-")</f>
        <v>-</v>
      </c>
      <c r="I59" s="7" t="str">
        <f>_xlfn.IFNA(VLOOKUP(B59,Päästökertoimet!$T$111:$Y$162,4,FALSE),"-")</f>
        <v>-</v>
      </c>
      <c r="J59" s="7" t="str">
        <f>_xlfn.IFNA(VLOOKUP(B59,Päästökertoimet!$T$111:$Y$162,5,FALSE),"-")</f>
        <v>-</v>
      </c>
      <c r="K59" s="23">
        <f>IFERROR(E59*I59,0)+IFERROR(F59*J59,0)+IFERROR(D59*H59,0)+IFERROR(C59*G59,0)</f>
        <v>0</v>
      </c>
    </row>
    <row r="60" spans="2:11" x14ac:dyDescent="0.25">
      <c r="B60" s="58"/>
      <c r="C60" s="27"/>
      <c r="D60" s="27"/>
      <c r="E60" s="27"/>
      <c r="F60" s="43"/>
      <c r="G60" s="7" t="str">
        <f>_xlfn.IFNA(VLOOKUP(B60,Päästökertoimet!$T$111:$Y$162,2,FALSE),"-")</f>
        <v>-</v>
      </c>
      <c r="H60" s="7" t="str">
        <f>_xlfn.IFNA(VLOOKUP(B60,Päästökertoimet!$T$111:$Y$162,3,FALSE),"-")</f>
        <v>-</v>
      </c>
      <c r="I60" s="7" t="str">
        <f>_xlfn.IFNA(VLOOKUP(B60,Päästökertoimet!$T$111:$Y$162,4,FALSE),"-")</f>
        <v>-</v>
      </c>
      <c r="J60" s="7" t="str">
        <f>_xlfn.IFNA(VLOOKUP(B60,Päästökertoimet!$T$111:$Y$162,5,FALSE),"-")</f>
        <v>-</v>
      </c>
      <c r="K60" s="23">
        <f t="shared" ref="K60:K69" si="3">IFERROR(E60*I60,0)+IFERROR(F60*J60,0)+IFERROR(D60*H60,0)+IFERROR(C60*G60,0)</f>
        <v>0</v>
      </c>
    </row>
    <row r="61" spans="2:11" x14ac:dyDescent="0.25">
      <c r="B61" s="58"/>
      <c r="C61" s="27"/>
      <c r="D61" s="27"/>
      <c r="E61" s="27"/>
      <c r="F61" s="43"/>
      <c r="G61" s="7" t="str">
        <f>_xlfn.IFNA(VLOOKUP(B61,Päästökertoimet!$T$111:$Y$162,2,FALSE),"-")</f>
        <v>-</v>
      </c>
      <c r="H61" s="7" t="str">
        <f>_xlfn.IFNA(VLOOKUP(B61,Päästökertoimet!$T$111:$Y$162,3,FALSE),"-")</f>
        <v>-</v>
      </c>
      <c r="I61" s="7" t="str">
        <f>_xlfn.IFNA(VLOOKUP(B61,Päästökertoimet!$T$111:$Y$162,4,FALSE),"-")</f>
        <v>-</v>
      </c>
      <c r="J61" s="7" t="str">
        <f>_xlfn.IFNA(VLOOKUP(B61,Päästökertoimet!$T$111:$Y$162,5,FALSE),"-")</f>
        <v>-</v>
      </c>
      <c r="K61" s="23">
        <f t="shared" si="3"/>
        <v>0</v>
      </c>
    </row>
    <row r="62" spans="2:11" x14ac:dyDescent="0.25">
      <c r="B62" s="58"/>
      <c r="C62" s="27"/>
      <c r="D62" s="27"/>
      <c r="E62" s="27"/>
      <c r="F62" s="43"/>
      <c r="G62" s="7" t="str">
        <f>_xlfn.IFNA(VLOOKUP(B62,Päästökertoimet!$T$111:$Y$162,2,FALSE),"-")</f>
        <v>-</v>
      </c>
      <c r="H62" s="7" t="str">
        <f>_xlfn.IFNA(VLOOKUP(B62,Päästökertoimet!$T$111:$Y$162,3,FALSE),"-")</f>
        <v>-</v>
      </c>
      <c r="I62" s="7" t="str">
        <f>_xlfn.IFNA(VLOOKUP(B62,Päästökertoimet!$T$111:$Y$162,4,FALSE),"-")</f>
        <v>-</v>
      </c>
      <c r="J62" s="7" t="str">
        <f>_xlfn.IFNA(VLOOKUP(B62,Päästökertoimet!$T$111:$Y$162,5,FALSE),"-")</f>
        <v>-</v>
      </c>
      <c r="K62" s="23">
        <f t="shared" si="3"/>
        <v>0</v>
      </c>
    </row>
    <row r="63" spans="2:11" x14ac:dyDescent="0.25">
      <c r="B63" s="58"/>
      <c r="C63" s="27"/>
      <c r="D63" s="27"/>
      <c r="E63" s="27"/>
      <c r="F63" s="43"/>
      <c r="G63" s="7" t="str">
        <f>_xlfn.IFNA(VLOOKUP(B63,Päästökertoimet!$T$111:$Y$162,2,FALSE),"-")</f>
        <v>-</v>
      </c>
      <c r="H63" s="7" t="str">
        <f>_xlfn.IFNA(VLOOKUP(B63,Päästökertoimet!$T$111:$Y$162,3,FALSE),"-")</f>
        <v>-</v>
      </c>
      <c r="I63" s="7" t="str">
        <f>_xlfn.IFNA(VLOOKUP(B63,Päästökertoimet!$T$111:$Y$162,4,FALSE),"-")</f>
        <v>-</v>
      </c>
      <c r="J63" s="7" t="str">
        <f>_xlfn.IFNA(VLOOKUP(B63,Päästökertoimet!$T$111:$Y$162,5,FALSE),"-")</f>
        <v>-</v>
      </c>
      <c r="K63" s="23">
        <f t="shared" si="3"/>
        <v>0</v>
      </c>
    </row>
    <row r="64" spans="2:11" x14ac:dyDescent="0.25">
      <c r="B64" s="58"/>
      <c r="C64" s="27"/>
      <c r="D64" s="27"/>
      <c r="E64" s="27"/>
      <c r="F64" s="43"/>
      <c r="G64" s="7" t="str">
        <f>_xlfn.IFNA(VLOOKUP(B64,Päästökertoimet!$T$111:$Y$162,2,FALSE),"-")</f>
        <v>-</v>
      </c>
      <c r="H64" s="7" t="str">
        <f>_xlfn.IFNA(VLOOKUP(B64,Päästökertoimet!$T$111:$Y$162,3,FALSE),"-")</f>
        <v>-</v>
      </c>
      <c r="I64" s="7" t="str">
        <f>_xlfn.IFNA(VLOOKUP(B64,Päästökertoimet!$T$111:$Y$162,4,FALSE),"-")</f>
        <v>-</v>
      </c>
      <c r="J64" s="7" t="str">
        <f>_xlfn.IFNA(VLOOKUP(B64,Päästökertoimet!$T$111:$Y$162,5,FALSE),"-")</f>
        <v>-</v>
      </c>
      <c r="K64" s="23">
        <f t="shared" si="3"/>
        <v>0</v>
      </c>
    </row>
    <row r="65" spans="2:11" x14ac:dyDescent="0.25">
      <c r="B65" s="58"/>
      <c r="C65" s="27"/>
      <c r="D65" s="27"/>
      <c r="E65" s="27"/>
      <c r="F65" s="43"/>
      <c r="G65" s="7" t="str">
        <f>_xlfn.IFNA(VLOOKUP(B65,Päästökertoimet!$T$111:$Y$162,2,FALSE),"-")</f>
        <v>-</v>
      </c>
      <c r="H65" s="7" t="str">
        <f>_xlfn.IFNA(VLOOKUP(B65,Päästökertoimet!$T$111:$Y$162,3,FALSE),"-")</f>
        <v>-</v>
      </c>
      <c r="I65" s="7" t="str">
        <f>_xlfn.IFNA(VLOOKUP(B65,Päästökertoimet!$T$111:$Y$162,4,FALSE),"-")</f>
        <v>-</v>
      </c>
      <c r="J65" s="7" t="str">
        <f>_xlfn.IFNA(VLOOKUP(B65,Päästökertoimet!$T$111:$Y$162,5,FALSE),"-")</f>
        <v>-</v>
      </c>
      <c r="K65" s="23">
        <f t="shared" si="3"/>
        <v>0</v>
      </c>
    </row>
    <row r="66" spans="2:11" x14ac:dyDescent="0.25">
      <c r="B66" s="58"/>
      <c r="C66" s="27"/>
      <c r="D66" s="27"/>
      <c r="E66" s="27"/>
      <c r="F66" s="43"/>
      <c r="G66" s="7" t="str">
        <f>_xlfn.IFNA(VLOOKUP(B66,Päästökertoimet!$T$111:$Y$162,2,FALSE),"-")</f>
        <v>-</v>
      </c>
      <c r="H66" s="7" t="str">
        <f>_xlfn.IFNA(VLOOKUP(B66,Päästökertoimet!$T$111:$Y$162,3,FALSE),"-")</f>
        <v>-</v>
      </c>
      <c r="I66" s="7" t="str">
        <f>_xlfn.IFNA(VLOOKUP(B66,Päästökertoimet!$T$111:$Y$162,4,FALSE),"-")</f>
        <v>-</v>
      </c>
      <c r="J66" s="7" t="str">
        <f>_xlfn.IFNA(VLOOKUP(B66,Päästökertoimet!$T$111:$Y$162,5,FALSE),"-")</f>
        <v>-</v>
      </c>
      <c r="K66" s="23">
        <f t="shared" si="3"/>
        <v>0</v>
      </c>
    </row>
    <row r="67" spans="2:11" x14ac:dyDescent="0.25">
      <c r="B67" s="112"/>
      <c r="C67" s="113"/>
      <c r="D67" s="113"/>
      <c r="E67" s="113"/>
      <c r="F67" s="113"/>
      <c r="G67" s="113"/>
      <c r="H67" s="113"/>
      <c r="I67" s="113"/>
      <c r="J67" s="113"/>
      <c r="K67" s="23">
        <f t="shared" si="3"/>
        <v>0</v>
      </c>
    </row>
    <row r="68" spans="2:11" x14ac:dyDescent="0.25">
      <c r="B68" s="112"/>
      <c r="C68" s="113"/>
      <c r="D68" s="113"/>
      <c r="E68" s="113"/>
      <c r="F68" s="113"/>
      <c r="G68" s="113"/>
      <c r="H68" s="113"/>
      <c r="I68" s="113"/>
      <c r="J68" s="113"/>
      <c r="K68" s="23">
        <f t="shared" si="3"/>
        <v>0</v>
      </c>
    </row>
    <row r="69" spans="2:11" ht="15.75" thickBot="1" x14ac:dyDescent="0.3">
      <c r="B69" s="114"/>
      <c r="C69" s="115"/>
      <c r="D69" s="115"/>
      <c r="E69" s="115"/>
      <c r="F69" s="123"/>
      <c r="G69" s="115"/>
      <c r="H69" s="115"/>
      <c r="I69" s="115"/>
      <c r="J69" s="115"/>
      <c r="K69" s="24">
        <f t="shared" si="3"/>
        <v>0</v>
      </c>
    </row>
    <row r="72" spans="2:11" x14ac:dyDescent="0.25">
      <c r="B72" s="137" t="s">
        <v>788</v>
      </c>
      <c r="C72" s="137"/>
      <c r="D72" s="137"/>
      <c r="E72" s="137"/>
      <c r="F72" s="137"/>
      <c r="G72" s="137"/>
      <c r="H72" s="137"/>
      <c r="I72" s="137"/>
      <c r="J72" s="137"/>
      <c r="K72" s="137"/>
    </row>
    <row r="73" spans="2:11" ht="15.75" thickBot="1" x14ac:dyDescent="0.3">
      <c r="B73" s="138"/>
      <c r="C73" s="138"/>
      <c r="D73" s="138"/>
      <c r="E73" s="138"/>
      <c r="F73" s="138"/>
      <c r="G73" s="138"/>
      <c r="H73" s="138"/>
      <c r="I73" s="138"/>
      <c r="J73" s="138"/>
      <c r="K73" s="138"/>
    </row>
    <row r="74" spans="2:11" ht="19.5" thickBot="1" x14ac:dyDescent="0.4">
      <c r="B74" s="10" t="s">
        <v>595</v>
      </c>
      <c r="C74" s="10" t="s">
        <v>597</v>
      </c>
      <c r="D74" s="10" t="s">
        <v>598</v>
      </c>
      <c r="E74" s="10" t="s">
        <v>599</v>
      </c>
      <c r="F74" s="99" t="s">
        <v>600</v>
      </c>
      <c r="G74" s="10" t="s">
        <v>58</v>
      </c>
      <c r="H74" s="10" t="s">
        <v>601</v>
      </c>
      <c r="I74" s="10" t="s">
        <v>602</v>
      </c>
      <c r="J74" s="10" t="s">
        <v>603</v>
      </c>
      <c r="K74" s="10" t="s">
        <v>60</v>
      </c>
    </row>
    <row r="75" spans="2:11" x14ac:dyDescent="0.25">
      <c r="B75" s="58"/>
      <c r="C75" s="34"/>
      <c r="D75" s="34"/>
      <c r="E75" s="34"/>
      <c r="F75" s="42"/>
      <c r="G75" s="7" t="str">
        <f>_xlfn.IFNA(VLOOKUP(B75,Päästökertoimet!$T$166:$Y$196,2,FALSE),"-")</f>
        <v>-</v>
      </c>
      <c r="H75" s="7" t="str">
        <f>_xlfn.IFNA(VLOOKUP(B75,Päästökertoimet!$T$166:$Y$196,3,FALSE),"-")</f>
        <v>-</v>
      </c>
      <c r="I75" s="7" t="str">
        <f>_xlfn.IFNA(VLOOKUP(B75,Päästökertoimet!$T$166:$Y$196,4,FALSE),"-")</f>
        <v>-</v>
      </c>
      <c r="J75" s="7" t="str">
        <f>_xlfn.IFNA(VLOOKUP(B75,Päästökertoimet!$T$166:$Y$196,5,FALSE),"-")</f>
        <v>-</v>
      </c>
      <c r="K75" s="23">
        <f>IFERROR(E75*I75,0)+IFERROR(F75*J75,0)+IFERROR(D75*H75,0)+IFERROR(C75*G75,0)</f>
        <v>0</v>
      </c>
    </row>
    <row r="76" spans="2:11" x14ac:dyDescent="0.25">
      <c r="B76" s="58"/>
      <c r="C76" s="27"/>
      <c r="D76" s="27"/>
      <c r="E76" s="27"/>
      <c r="F76" s="43"/>
      <c r="G76" s="7" t="str">
        <f>_xlfn.IFNA(VLOOKUP(B76,Päästökertoimet!$T$166:$Y$196,2,FALSE),"-")</f>
        <v>-</v>
      </c>
      <c r="H76" s="7" t="str">
        <f>_xlfn.IFNA(VLOOKUP(B76,Päästökertoimet!$T$166:$Y$196,3,FALSE),"-")</f>
        <v>-</v>
      </c>
      <c r="I76" s="7" t="str">
        <f>_xlfn.IFNA(VLOOKUP(B76,Päästökertoimet!$T$166:$Y$196,4,FALSE),"-")</f>
        <v>-</v>
      </c>
      <c r="J76" s="7" t="str">
        <f>_xlfn.IFNA(VLOOKUP(B76,Päästökertoimet!$T$166:$Y$196,5,FALSE),"-")</f>
        <v>-</v>
      </c>
      <c r="K76" s="23">
        <f t="shared" ref="K76:K85" si="4">IFERROR(E76*I76,0)+IFERROR(F76*J76,0)+IFERROR(D76*H76,0)+IFERROR(C76*G76,0)</f>
        <v>0</v>
      </c>
    </row>
    <row r="77" spans="2:11" x14ac:dyDescent="0.25">
      <c r="B77" s="58"/>
      <c r="C77" s="27"/>
      <c r="D77" s="27"/>
      <c r="E77" s="27"/>
      <c r="F77" s="43"/>
      <c r="G77" s="7" t="str">
        <f>_xlfn.IFNA(VLOOKUP(B77,Päästökertoimet!$T$166:$Y$196,2,FALSE),"-")</f>
        <v>-</v>
      </c>
      <c r="H77" s="7" t="str">
        <f>_xlfn.IFNA(VLOOKUP(B77,Päästökertoimet!$T$166:$Y$196,3,FALSE),"-")</f>
        <v>-</v>
      </c>
      <c r="I77" s="7" t="str">
        <f>_xlfn.IFNA(VLOOKUP(B77,Päästökertoimet!$T$166:$Y$196,4,FALSE),"-")</f>
        <v>-</v>
      </c>
      <c r="J77" s="7" t="str">
        <f>_xlfn.IFNA(VLOOKUP(B77,Päästökertoimet!$T$166:$Y$196,5,FALSE),"-")</f>
        <v>-</v>
      </c>
      <c r="K77" s="23">
        <f t="shared" si="4"/>
        <v>0</v>
      </c>
    </row>
    <row r="78" spans="2:11" x14ac:dyDescent="0.25">
      <c r="B78" s="58"/>
      <c r="C78" s="27"/>
      <c r="D78" s="27"/>
      <c r="E78" s="27"/>
      <c r="F78" s="43"/>
      <c r="G78" s="7" t="str">
        <f>_xlfn.IFNA(VLOOKUP(B78,Päästökertoimet!$T$166:$Y$196,2,FALSE),"-")</f>
        <v>-</v>
      </c>
      <c r="H78" s="7" t="str">
        <f>_xlfn.IFNA(VLOOKUP(B78,Päästökertoimet!$T$166:$Y$196,3,FALSE),"-")</f>
        <v>-</v>
      </c>
      <c r="I78" s="7" t="str">
        <f>_xlfn.IFNA(VLOOKUP(B78,Päästökertoimet!$T$166:$Y$196,4,FALSE),"-")</f>
        <v>-</v>
      </c>
      <c r="J78" s="7" t="str">
        <f>_xlfn.IFNA(VLOOKUP(B78,Päästökertoimet!$T$166:$Y$196,5,FALSE),"-")</f>
        <v>-</v>
      </c>
      <c r="K78" s="23">
        <f t="shared" si="4"/>
        <v>0</v>
      </c>
    </row>
    <row r="79" spans="2:11" x14ac:dyDescent="0.25">
      <c r="B79" s="58"/>
      <c r="C79" s="27"/>
      <c r="D79" s="27"/>
      <c r="E79" s="27"/>
      <c r="F79" s="43"/>
      <c r="G79" s="7" t="str">
        <f>_xlfn.IFNA(VLOOKUP(B79,Päästökertoimet!$T$166:$Y$196,2,FALSE),"-")</f>
        <v>-</v>
      </c>
      <c r="H79" s="7" t="str">
        <f>_xlfn.IFNA(VLOOKUP(B79,Päästökertoimet!$T$166:$Y$196,3,FALSE),"-")</f>
        <v>-</v>
      </c>
      <c r="I79" s="7" t="str">
        <f>_xlfn.IFNA(VLOOKUP(B79,Päästökertoimet!$T$166:$Y$196,4,FALSE),"-")</f>
        <v>-</v>
      </c>
      <c r="J79" s="7" t="str">
        <f>_xlfn.IFNA(VLOOKUP(B79,Päästökertoimet!$T$166:$Y$196,5,FALSE),"-")</f>
        <v>-</v>
      </c>
      <c r="K79" s="23">
        <f t="shared" si="4"/>
        <v>0</v>
      </c>
    </row>
    <row r="80" spans="2:11" x14ac:dyDescent="0.25">
      <c r="B80" s="58"/>
      <c r="C80" s="27"/>
      <c r="D80" s="27"/>
      <c r="E80" s="27"/>
      <c r="F80" s="43"/>
      <c r="G80" s="7" t="str">
        <f>_xlfn.IFNA(VLOOKUP(B80,Päästökertoimet!$T$166:$Y$196,2,FALSE),"-")</f>
        <v>-</v>
      </c>
      <c r="H80" s="7" t="str">
        <f>_xlfn.IFNA(VLOOKUP(B80,Päästökertoimet!$T$166:$Y$196,3,FALSE),"-")</f>
        <v>-</v>
      </c>
      <c r="I80" s="7" t="str">
        <f>_xlfn.IFNA(VLOOKUP(B80,Päästökertoimet!$T$166:$Y$196,4,FALSE),"-")</f>
        <v>-</v>
      </c>
      <c r="J80" s="7" t="str">
        <f>_xlfn.IFNA(VLOOKUP(B80,Päästökertoimet!$T$166:$Y$196,5,FALSE),"-")</f>
        <v>-</v>
      </c>
      <c r="K80" s="23">
        <f t="shared" si="4"/>
        <v>0</v>
      </c>
    </row>
    <row r="81" spans="2:11" x14ac:dyDescent="0.25">
      <c r="B81" s="58"/>
      <c r="C81" s="27"/>
      <c r="D81" s="27"/>
      <c r="E81" s="27"/>
      <c r="F81" s="43"/>
      <c r="G81" s="7" t="str">
        <f>_xlfn.IFNA(VLOOKUP(B81,Päästökertoimet!$T$166:$Y$196,2,FALSE),"-")</f>
        <v>-</v>
      </c>
      <c r="H81" s="7" t="str">
        <f>_xlfn.IFNA(VLOOKUP(B81,Päästökertoimet!$T$166:$Y$196,3,FALSE),"-")</f>
        <v>-</v>
      </c>
      <c r="I81" s="7" t="str">
        <f>_xlfn.IFNA(VLOOKUP(B81,Päästökertoimet!$T$166:$Y$196,4,FALSE),"-")</f>
        <v>-</v>
      </c>
      <c r="J81" s="7" t="str">
        <f>_xlfn.IFNA(VLOOKUP(B81,Päästökertoimet!$T$166:$Y$196,5,FALSE),"-")</f>
        <v>-</v>
      </c>
      <c r="K81" s="23">
        <f t="shared" si="4"/>
        <v>0</v>
      </c>
    </row>
    <row r="82" spans="2:11" x14ac:dyDescent="0.25">
      <c r="B82" s="58"/>
      <c r="C82" s="27"/>
      <c r="D82" s="27"/>
      <c r="E82" s="27"/>
      <c r="F82" s="43"/>
      <c r="G82" s="7" t="str">
        <f>_xlfn.IFNA(VLOOKUP(B82,Päästökertoimet!$T$166:$Y$196,2,FALSE),"-")</f>
        <v>-</v>
      </c>
      <c r="H82" s="7" t="str">
        <f>_xlfn.IFNA(VLOOKUP(B82,Päästökertoimet!$T$166:$Y$196,3,FALSE),"-")</f>
        <v>-</v>
      </c>
      <c r="I82" s="7" t="str">
        <f>_xlfn.IFNA(VLOOKUP(B82,Päästökertoimet!$T$166:$Y$196,4,FALSE),"-")</f>
        <v>-</v>
      </c>
      <c r="J82" s="7" t="str">
        <f>_xlfn.IFNA(VLOOKUP(B82,Päästökertoimet!$T$166:$Y$196,5,FALSE),"-")</f>
        <v>-</v>
      </c>
      <c r="K82" s="23">
        <f t="shared" si="4"/>
        <v>0</v>
      </c>
    </row>
    <row r="83" spans="2:11" x14ac:dyDescent="0.25">
      <c r="B83" s="112"/>
      <c r="C83" s="113"/>
      <c r="D83" s="113"/>
      <c r="E83" s="113"/>
      <c r="F83" s="113"/>
      <c r="G83" s="113"/>
      <c r="H83" s="113"/>
      <c r="I83" s="113"/>
      <c r="J83" s="113"/>
      <c r="K83" s="23">
        <f t="shared" si="4"/>
        <v>0</v>
      </c>
    </row>
    <row r="84" spans="2:11" x14ac:dyDescent="0.25">
      <c r="B84" s="112"/>
      <c r="C84" s="113"/>
      <c r="D84" s="113"/>
      <c r="E84" s="113"/>
      <c r="F84" s="113"/>
      <c r="G84" s="113"/>
      <c r="H84" s="113"/>
      <c r="I84" s="113"/>
      <c r="J84" s="113"/>
      <c r="K84" s="23">
        <f t="shared" si="4"/>
        <v>0</v>
      </c>
    </row>
    <row r="85" spans="2:11" ht="15.75" thickBot="1" x14ac:dyDescent="0.3">
      <c r="B85" s="114"/>
      <c r="C85" s="115"/>
      <c r="D85" s="115"/>
      <c r="E85" s="115"/>
      <c r="F85" s="123"/>
      <c r="G85" s="115"/>
      <c r="H85" s="115"/>
      <c r="I85" s="115"/>
      <c r="J85" s="115"/>
      <c r="K85" s="24">
        <f t="shared" si="4"/>
        <v>0</v>
      </c>
    </row>
    <row r="88" spans="2:11" x14ac:dyDescent="0.25">
      <c r="B88" s="137" t="s">
        <v>789</v>
      </c>
      <c r="C88" s="137"/>
      <c r="D88" s="137"/>
      <c r="E88" s="137"/>
      <c r="F88" s="137"/>
      <c r="G88" s="137"/>
      <c r="H88" s="137"/>
      <c r="I88" s="137"/>
      <c r="J88" s="137"/>
      <c r="K88" s="137"/>
    </row>
    <row r="89" spans="2:11" ht="15.75" thickBot="1" x14ac:dyDescent="0.3">
      <c r="B89" s="138"/>
      <c r="C89" s="138"/>
      <c r="D89" s="138"/>
      <c r="E89" s="138"/>
      <c r="F89" s="138"/>
      <c r="G89" s="138"/>
      <c r="H89" s="138"/>
      <c r="I89" s="138"/>
      <c r="J89" s="138"/>
      <c r="K89" s="138"/>
    </row>
    <row r="90" spans="2:11" ht="19.5" thickBot="1" x14ac:dyDescent="0.4">
      <c r="B90" s="10" t="s">
        <v>595</v>
      </c>
      <c r="C90" s="10" t="s">
        <v>597</v>
      </c>
      <c r="D90" s="10" t="s">
        <v>598</v>
      </c>
      <c r="E90" s="10" t="s">
        <v>599</v>
      </c>
      <c r="F90" s="99" t="s">
        <v>600</v>
      </c>
      <c r="G90" s="10" t="s">
        <v>58</v>
      </c>
      <c r="H90" s="10" t="s">
        <v>601</v>
      </c>
      <c r="I90" s="10" t="s">
        <v>602</v>
      </c>
      <c r="J90" s="10" t="s">
        <v>603</v>
      </c>
      <c r="K90" s="10" t="s">
        <v>60</v>
      </c>
    </row>
    <row r="91" spans="2:11" x14ac:dyDescent="0.25">
      <c r="B91" s="58"/>
      <c r="C91" s="34"/>
      <c r="D91" s="34"/>
      <c r="E91" s="34"/>
      <c r="F91" s="42"/>
      <c r="G91" s="7" t="str">
        <f>_xlfn.IFNA(VLOOKUP(B91,Päästökertoimet!$T$200:$Y$226,2,FALSE),"-")</f>
        <v>-</v>
      </c>
      <c r="H91" s="7" t="str">
        <f>_xlfn.IFNA(VLOOKUP(B91,Päästökertoimet!$T$200:$Y$226,3,FALSE),"-")</f>
        <v>-</v>
      </c>
      <c r="I91" s="7" t="str">
        <f>_xlfn.IFNA(VLOOKUP(B91,Päästökertoimet!$T$200:$Y$226,4,FALSE),"-")</f>
        <v>-</v>
      </c>
      <c r="J91" s="7" t="str">
        <f>_xlfn.IFNA(VLOOKUP(B91,Päästökertoimet!$T$200:$Y$226,5,FALSE),"-")</f>
        <v>-</v>
      </c>
      <c r="K91" s="23">
        <f>IFERROR(E91*I91,0)+IFERROR(F91*J91,0)+IFERROR(D91*H91,0)+IFERROR(C91*G91,0)</f>
        <v>0</v>
      </c>
    </row>
    <row r="92" spans="2:11" x14ac:dyDescent="0.25">
      <c r="B92" s="58"/>
      <c r="C92" s="27"/>
      <c r="D92" s="27"/>
      <c r="E92" s="27"/>
      <c r="F92" s="43"/>
      <c r="G92" s="7" t="str">
        <f>_xlfn.IFNA(VLOOKUP(B92,Päästökertoimet!$T$200:$Y$226,2,FALSE),"-")</f>
        <v>-</v>
      </c>
      <c r="H92" s="7" t="str">
        <f>_xlfn.IFNA(VLOOKUP(B92,Päästökertoimet!$T$200:$Y$226,3,FALSE),"-")</f>
        <v>-</v>
      </c>
      <c r="I92" s="7" t="str">
        <f>_xlfn.IFNA(VLOOKUP(B92,Päästökertoimet!$T$200:$Y$226,4,FALSE),"-")</f>
        <v>-</v>
      </c>
      <c r="J92" s="7" t="str">
        <f>_xlfn.IFNA(VLOOKUP(B92,Päästökertoimet!$T$200:$Y$226,5,FALSE),"-")</f>
        <v>-</v>
      </c>
      <c r="K92" s="23">
        <f t="shared" ref="K92:K101" si="5">IFERROR(E92*I92,0)+IFERROR(F92*J92,0)+IFERROR(D92*H92,0)+IFERROR(C92*G92,0)</f>
        <v>0</v>
      </c>
    </row>
    <row r="93" spans="2:11" x14ac:dyDescent="0.25">
      <c r="B93" s="58"/>
      <c r="C93" s="27"/>
      <c r="D93" s="27"/>
      <c r="E93" s="27"/>
      <c r="F93" s="43"/>
      <c r="G93" s="7" t="str">
        <f>_xlfn.IFNA(VLOOKUP(B93,Päästökertoimet!$T$200:$Y$226,2,FALSE),"-")</f>
        <v>-</v>
      </c>
      <c r="H93" s="7" t="str">
        <f>_xlfn.IFNA(VLOOKUP(B93,Päästökertoimet!$T$200:$Y$226,3,FALSE),"-")</f>
        <v>-</v>
      </c>
      <c r="I93" s="7" t="str">
        <f>_xlfn.IFNA(VLOOKUP(B93,Päästökertoimet!$T$200:$Y$226,4,FALSE),"-")</f>
        <v>-</v>
      </c>
      <c r="J93" s="7" t="str">
        <f>_xlfn.IFNA(VLOOKUP(B93,Päästökertoimet!$T$200:$Y$226,5,FALSE),"-")</f>
        <v>-</v>
      </c>
      <c r="K93" s="23">
        <f t="shared" si="5"/>
        <v>0</v>
      </c>
    </row>
    <row r="94" spans="2:11" x14ac:dyDescent="0.25">
      <c r="B94" s="58"/>
      <c r="C94" s="27"/>
      <c r="D94" s="27"/>
      <c r="E94" s="27"/>
      <c r="F94" s="43"/>
      <c r="G94" s="7" t="str">
        <f>_xlfn.IFNA(VLOOKUP(B94,Päästökertoimet!$T$200:$Y$226,2,FALSE),"-")</f>
        <v>-</v>
      </c>
      <c r="H94" s="7" t="str">
        <f>_xlfn.IFNA(VLOOKUP(B94,Päästökertoimet!$T$200:$Y$226,3,FALSE),"-")</f>
        <v>-</v>
      </c>
      <c r="I94" s="7" t="str">
        <f>_xlfn.IFNA(VLOOKUP(B94,Päästökertoimet!$T$200:$Y$226,4,FALSE),"-")</f>
        <v>-</v>
      </c>
      <c r="J94" s="7" t="str">
        <f>_xlfn.IFNA(VLOOKUP(B94,Päästökertoimet!$T$200:$Y$226,5,FALSE),"-")</f>
        <v>-</v>
      </c>
      <c r="K94" s="23">
        <f t="shared" si="5"/>
        <v>0</v>
      </c>
    </row>
    <row r="95" spans="2:11" x14ac:dyDescent="0.25">
      <c r="B95" s="58"/>
      <c r="C95" s="27"/>
      <c r="D95" s="27"/>
      <c r="E95" s="27"/>
      <c r="F95" s="43"/>
      <c r="G95" s="7" t="str">
        <f>_xlfn.IFNA(VLOOKUP(B95,Päästökertoimet!$T$200:$Y$226,2,FALSE),"-")</f>
        <v>-</v>
      </c>
      <c r="H95" s="7" t="str">
        <f>_xlfn.IFNA(VLOOKUP(B95,Päästökertoimet!$T$200:$Y$226,3,FALSE),"-")</f>
        <v>-</v>
      </c>
      <c r="I95" s="7" t="str">
        <f>_xlfn.IFNA(VLOOKUP(B95,Päästökertoimet!$T$200:$Y$226,4,FALSE),"-")</f>
        <v>-</v>
      </c>
      <c r="J95" s="7" t="str">
        <f>_xlfn.IFNA(VLOOKUP(B95,Päästökertoimet!$T$200:$Y$226,5,FALSE),"-")</f>
        <v>-</v>
      </c>
      <c r="K95" s="23">
        <f t="shared" si="5"/>
        <v>0</v>
      </c>
    </row>
    <row r="96" spans="2:11" x14ac:dyDescent="0.25">
      <c r="B96" s="58"/>
      <c r="C96" s="27"/>
      <c r="D96" s="27"/>
      <c r="E96" s="27"/>
      <c r="F96" s="43"/>
      <c r="G96" s="7" t="str">
        <f>_xlfn.IFNA(VLOOKUP(B96,Päästökertoimet!$T$200:$Y$226,2,FALSE),"-")</f>
        <v>-</v>
      </c>
      <c r="H96" s="7" t="str">
        <f>_xlfn.IFNA(VLOOKUP(B96,Päästökertoimet!$T$200:$Y$226,3,FALSE),"-")</f>
        <v>-</v>
      </c>
      <c r="I96" s="7" t="str">
        <f>_xlfn.IFNA(VLOOKUP(B96,Päästökertoimet!$T$200:$Y$226,4,FALSE),"-")</f>
        <v>-</v>
      </c>
      <c r="J96" s="7" t="str">
        <f>_xlfn.IFNA(VLOOKUP(B96,Päästökertoimet!$T$200:$Y$226,5,FALSE),"-")</f>
        <v>-</v>
      </c>
      <c r="K96" s="23">
        <f t="shared" si="5"/>
        <v>0</v>
      </c>
    </row>
    <row r="97" spans="2:11" x14ac:dyDescent="0.25">
      <c r="B97" s="58"/>
      <c r="C97" s="27"/>
      <c r="D97" s="27"/>
      <c r="E97" s="27"/>
      <c r="F97" s="43"/>
      <c r="G97" s="7" t="str">
        <f>_xlfn.IFNA(VLOOKUP(B97,Päästökertoimet!$T$200:$Y$226,2,FALSE),"-")</f>
        <v>-</v>
      </c>
      <c r="H97" s="7" t="str">
        <f>_xlfn.IFNA(VLOOKUP(B97,Päästökertoimet!$T$200:$Y$226,3,FALSE),"-")</f>
        <v>-</v>
      </c>
      <c r="I97" s="7" t="str">
        <f>_xlfn.IFNA(VLOOKUP(B97,Päästökertoimet!$T$200:$Y$226,4,FALSE),"-")</f>
        <v>-</v>
      </c>
      <c r="J97" s="7" t="str">
        <f>_xlfn.IFNA(VLOOKUP(B97,Päästökertoimet!$T$200:$Y$226,5,FALSE),"-")</f>
        <v>-</v>
      </c>
      <c r="K97" s="23">
        <f t="shared" si="5"/>
        <v>0</v>
      </c>
    </row>
    <row r="98" spans="2:11" x14ac:dyDescent="0.25">
      <c r="B98" s="58"/>
      <c r="C98" s="27"/>
      <c r="D98" s="27"/>
      <c r="E98" s="27"/>
      <c r="F98" s="43"/>
      <c r="G98" s="7" t="str">
        <f>_xlfn.IFNA(VLOOKUP(B98,Päästökertoimet!$T$200:$Y$226,2,FALSE),"-")</f>
        <v>-</v>
      </c>
      <c r="H98" s="7" t="str">
        <f>_xlfn.IFNA(VLOOKUP(B98,Päästökertoimet!$T$200:$Y$226,3,FALSE),"-")</f>
        <v>-</v>
      </c>
      <c r="I98" s="7" t="str">
        <f>_xlfn.IFNA(VLOOKUP(B98,Päästökertoimet!$T$200:$Y$226,4,FALSE),"-")</f>
        <v>-</v>
      </c>
      <c r="J98" s="7" t="str">
        <f>_xlfn.IFNA(VLOOKUP(B98,Päästökertoimet!$T$200:$Y$226,5,FALSE),"-")</f>
        <v>-</v>
      </c>
      <c r="K98" s="23">
        <f t="shared" si="5"/>
        <v>0</v>
      </c>
    </row>
    <row r="99" spans="2:11" x14ac:dyDescent="0.25">
      <c r="B99" s="112"/>
      <c r="C99" s="113"/>
      <c r="D99" s="113"/>
      <c r="E99" s="113"/>
      <c r="F99" s="113"/>
      <c r="G99" s="113"/>
      <c r="H99" s="113"/>
      <c r="I99" s="113"/>
      <c r="J99" s="113"/>
      <c r="K99" s="23">
        <f t="shared" si="5"/>
        <v>0</v>
      </c>
    </row>
    <row r="100" spans="2:11" x14ac:dyDescent="0.25">
      <c r="B100" s="112"/>
      <c r="C100" s="113"/>
      <c r="D100" s="113"/>
      <c r="E100" s="113"/>
      <c r="F100" s="113"/>
      <c r="G100" s="113"/>
      <c r="H100" s="113"/>
      <c r="I100" s="113"/>
      <c r="J100" s="113"/>
      <c r="K100" s="23">
        <f t="shared" si="5"/>
        <v>0</v>
      </c>
    </row>
    <row r="101" spans="2:11" ht="15.75" thickBot="1" x14ac:dyDescent="0.3">
      <c r="B101" s="114"/>
      <c r="C101" s="115"/>
      <c r="D101" s="115"/>
      <c r="E101" s="115"/>
      <c r="F101" s="123"/>
      <c r="G101" s="115"/>
      <c r="H101" s="115"/>
      <c r="I101" s="115"/>
      <c r="J101" s="115"/>
      <c r="K101" s="24">
        <f t="shared" si="5"/>
        <v>0</v>
      </c>
    </row>
    <row r="104" spans="2:11" x14ac:dyDescent="0.25">
      <c r="B104" s="137" t="s">
        <v>845</v>
      </c>
      <c r="C104" s="137"/>
      <c r="D104" s="137"/>
      <c r="E104" s="137"/>
      <c r="F104" s="137"/>
      <c r="G104" s="137"/>
      <c r="H104" s="137"/>
      <c r="I104" s="137"/>
      <c r="J104" s="137"/>
      <c r="K104" s="137"/>
    </row>
    <row r="105" spans="2:11" ht="15.75" thickBot="1" x14ac:dyDescent="0.3">
      <c r="B105" s="138"/>
      <c r="C105" s="138"/>
      <c r="D105" s="138"/>
      <c r="E105" s="138"/>
      <c r="F105" s="138"/>
      <c r="G105" s="138"/>
      <c r="H105" s="138"/>
      <c r="I105" s="138"/>
      <c r="J105" s="138"/>
      <c r="K105" s="138"/>
    </row>
    <row r="106" spans="2:11" ht="19.5" thickBot="1" x14ac:dyDescent="0.4">
      <c r="B106" s="10" t="s">
        <v>595</v>
      </c>
      <c r="C106" s="10" t="s">
        <v>597</v>
      </c>
      <c r="D106" s="10" t="s">
        <v>598</v>
      </c>
      <c r="E106" s="10" t="s">
        <v>599</v>
      </c>
      <c r="F106" s="99" t="s">
        <v>600</v>
      </c>
      <c r="G106" s="10" t="s">
        <v>58</v>
      </c>
      <c r="H106" s="10" t="s">
        <v>601</v>
      </c>
      <c r="I106" s="10" t="s">
        <v>602</v>
      </c>
      <c r="J106" s="10" t="s">
        <v>603</v>
      </c>
      <c r="K106" s="10" t="s">
        <v>60</v>
      </c>
    </row>
    <row r="107" spans="2:11" x14ac:dyDescent="0.25">
      <c r="B107" s="58"/>
      <c r="C107" s="34"/>
      <c r="D107" s="34"/>
      <c r="E107" s="34"/>
      <c r="F107" s="42"/>
      <c r="G107" s="7" t="str">
        <f>_xlfn.IFNA(VLOOKUP(B107,Päästökertoimet!$T$231:$Z$237,2,FALSE),"-")</f>
        <v>-</v>
      </c>
      <c r="H107" s="7" t="str">
        <f>_xlfn.IFNA(VLOOKUP(B107,Päästökertoimet!$T$231:$Z$237,3,FALSE),"-")</f>
        <v>-</v>
      </c>
      <c r="I107" s="7" t="str">
        <f>_xlfn.IFNA(VLOOKUP(B107,Päästökertoimet!$T$231:$Z$237,4,FALSE),"-")</f>
        <v>-</v>
      </c>
      <c r="J107" s="7" t="str">
        <f>_xlfn.IFNA(VLOOKUP(B107,Päästökertoimet!$T$231:$Z$237,5,FALSE),"-")</f>
        <v>-</v>
      </c>
      <c r="K107" s="23">
        <f>IFERROR(E107*I107,0)+IFERROR(F107*J107,0)+IFERROR(D107*H107,0)+IFERROR(C107*G107,0)</f>
        <v>0</v>
      </c>
    </row>
    <row r="108" spans="2:11" x14ac:dyDescent="0.25">
      <c r="B108" s="58"/>
      <c r="C108" s="27"/>
      <c r="D108" s="27"/>
      <c r="E108" s="27"/>
      <c r="F108" s="43"/>
      <c r="G108" s="7" t="str">
        <f>_xlfn.IFNA(VLOOKUP(B108,Päästökertoimet!$T$231:$Z$237,2,FALSE),"-")</f>
        <v>-</v>
      </c>
      <c r="H108" s="7" t="str">
        <f>_xlfn.IFNA(VLOOKUP(B108,Päästökertoimet!$T$231:$Z$237,3,FALSE),"-")</f>
        <v>-</v>
      </c>
      <c r="I108" s="7" t="str">
        <f>_xlfn.IFNA(VLOOKUP(B108,Päästökertoimet!$T$231:$Z$237,4,FALSE),"-")</f>
        <v>-</v>
      </c>
      <c r="J108" s="7" t="str">
        <f>_xlfn.IFNA(VLOOKUP(B108,Päästökertoimet!$T$231:$Z$237,5,FALSE),"-")</f>
        <v>-</v>
      </c>
      <c r="K108" s="23">
        <f t="shared" ref="K108:K117" si="6">IFERROR(E108*I108,0)+IFERROR(F108*J108,0)+IFERROR(D108*H108,0)+IFERROR(C108*G108,0)</f>
        <v>0</v>
      </c>
    </row>
    <row r="109" spans="2:11" x14ac:dyDescent="0.25">
      <c r="B109" s="58"/>
      <c r="C109" s="27"/>
      <c r="D109" s="27"/>
      <c r="E109" s="27"/>
      <c r="F109" s="43"/>
      <c r="G109" s="7" t="str">
        <f>_xlfn.IFNA(VLOOKUP(B109,Päästökertoimet!$T$231:$Z$237,2,FALSE),"-")</f>
        <v>-</v>
      </c>
      <c r="H109" s="7" t="str">
        <f>_xlfn.IFNA(VLOOKUP(B109,Päästökertoimet!$T$231:$Z$237,3,FALSE),"-")</f>
        <v>-</v>
      </c>
      <c r="I109" s="7" t="str">
        <f>_xlfn.IFNA(VLOOKUP(B109,Päästökertoimet!$T$231:$Z$237,4,FALSE),"-")</f>
        <v>-</v>
      </c>
      <c r="J109" s="7" t="str">
        <f>_xlfn.IFNA(VLOOKUP(B109,Päästökertoimet!$T$231:$Z$237,5,FALSE),"-")</f>
        <v>-</v>
      </c>
      <c r="K109" s="23">
        <f t="shared" si="6"/>
        <v>0</v>
      </c>
    </row>
    <row r="110" spans="2:11" x14ac:dyDescent="0.25">
      <c r="B110" s="58"/>
      <c r="C110" s="27"/>
      <c r="D110" s="27"/>
      <c r="E110" s="27"/>
      <c r="F110" s="43"/>
      <c r="G110" s="7" t="str">
        <f>_xlfn.IFNA(VLOOKUP(B110,Päästökertoimet!$T$231:$Z$237,2,FALSE),"-")</f>
        <v>-</v>
      </c>
      <c r="H110" s="7" t="str">
        <f>_xlfn.IFNA(VLOOKUP(B110,Päästökertoimet!$T$231:$Z$237,3,FALSE),"-")</f>
        <v>-</v>
      </c>
      <c r="I110" s="7" t="str">
        <f>_xlfn.IFNA(VLOOKUP(B110,Päästökertoimet!$T$231:$Z$237,4,FALSE),"-")</f>
        <v>-</v>
      </c>
      <c r="J110" s="7" t="str">
        <f>_xlfn.IFNA(VLOOKUP(B110,Päästökertoimet!$T$231:$Z$237,5,FALSE),"-")</f>
        <v>-</v>
      </c>
      <c r="K110" s="23">
        <f t="shared" si="6"/>
        <v>0</v>
      </c>
    </row>
    <row r="111" spans="2:11" x14ac:dyDescent="0.25">
      <c r="B111" s="58"/>
      <c r="C111" s="27"/>
      <c r="D111" s="27"/>
      <c r="E111" s="27"/>
      <c r="F111" s="43"/>
      <c r="G111" s="7" t="str">
        <f>_xlfn.IFNA(VLOOKUP(B111,Päästökertoimet!$T$231:$Z$237,2,FALSE),"-")</f>
        <v>-</v>
      </c>
      <c r="H111" s="7" t="str">
        <f>_xlfn.IFNA(VLOOKUP(B111,Päästökertoimet!$T$231:$Z$237,3,FALSE),"-")</f>
        <v>-</v>
      </c>
      <c r="I111" s="7" t="str">
        <f>_xlfn.IFNA(VLOOKUP(B111,Päästökertoimet!$T$231:$Z$237,4,FALSE),"-")</f>
        <v>-</v>
      </c>
      <c r="J111" s="7" t="str">
        <f>_xlfn.IFNA(VLOOKUP(B111,Päästökertoimet!$T$231:$Z$237,5,FALSE),"-")</f>
        <v>-</v>
      </c>
      <c r="K111" s="23">
        <f t="shared" si="6"/>
        <v>0</v>
      </c>
    </row>
    <row r="112" spans="2:11" x14ac:dyDescent="0.25">
      <c r="B112" s="58"/>
      <c r="C112" s="27"/>
      <c r="D112" s="27"/>
      <c r="E112" s="27"/>
      <c r="F112" s="43"/>
      <c r="G112" s="7" t="str">
        <f>_xlfn.IFNA(VLOOKUP(B112,Päästökertoimet!$T$231:$Z$237,2,FALSE),"-")</f>
        <v>-</v>
      </c>
      <c r="H112" s="7" t="str">
        <f>_xlfn.IFNA(VLOOKUP(B112,Päästökertoimet!$T$231:$Z$237,3,FALSE),"-")</f>
        <v>-</v>
      </c>
      <c r="I112" s="7" t="str">
        <f>_xlfn.IFNA(VLOOKUP(B112,Päästökertoimet!$T$231:$Z$237,4,FALSE),"-")</f>
        <v>-</v>
      </c>
      <c r="J112" s="7" t="str">
        <f>_xlfn.IFNA(VLOOKUP(B112,Päästökertoimet!$T$231:$Z$237,5,FALSE),"-")</f>
        <v>-</v>
      </c>
      <c r="K112" s="23">
        <f t="shared" si="6"/>
        <v>0</v>
      </c>
    </row>
    <row r="113" spans="2:11" x14ac:dyDescent="0.25">
      <c r="B113" s="58"/>
      <c r="C113" s="27"/>
      <c r="D113" s="27"/>
      <c r="E113" s="27"/>
      <c r="F113" s="43"/>
      <c r="G113" s="7" t="str">
        <f>_xlfn.IFNA(VLOOKUP(B113,Päästökertoimet!$T$231:$Z$237,2,FALSE),"-")</f>
        <v>-</v>
      </c>
      <c r="H113" s="7" t="str">
        <f>_xlfn.IFNA(VLOOKUP(B113,Päästökertoimet!$T$231:$Z$237,3,FALSE),"-")</f>
        <v>-</v>
      </c>
      <c r="I113" s="7" t="str">
        <f>_xlfn.IFNA(VLOOKUP(B113,Päästökertoimet!$T$231:$Z$237,4,FALSE),"-")</f>
        <v>-</v>
      </c>
      <c r="J113" s="7" t="str">
        <f>_xlfn.IFNA(VLOOKUP(B113,Päästökertoimet!$T$231:$Z$237,5,FALSE),"-")</f>
        <v>-</v>
      </c>
      <c r="K113" s="23">
        <f t="shared" si="6"/>
        <v>0</v>
      </c>
    </row>
    <row r="114" spans="2:11" x14ac:dyDescent="0.25">
      <c r="B114" s="58"/>
      <c r="C114" s="27"/>
      <c r="D114" s="27"/>
      <c r="E114" s="27"/>
      <c r="F114" s="43"/>
      <c r="G114" s="7" t="str">
        <f>_xlfn.IFNA(VLOOKUP(B114,Päästökertoimet!$T$231:$Z$237,2,FALSE),"-")</f>
        <v>-</v>
      </c>
      <c r="H114" s="7" t="str">
        <f>_xlfn.IFNA(VLOOKUP(B114,Päästökertoimet!$T$231:$Z$237,3,FALSE),"-")</f>
        <v>-</v>
      </c>
      <c r="I114" s="7" t="str">
        <f>_xlfn.IFNA(VLOOKUP(B114,Päästökertoimet!$T$231:$Z$237,4,FALSE),"-")</f>
        <v>-</v>
      </c>
      <c r="J114" s="7" t="str">
        <f>_xlfn.IFNA(VLOOKUP(B114,Päästökertoimet!$T$231:$Z$237,5,FALSE),"-")</f>
        <v>-</v>
      </c>
      <c r="K114" s="23">
        <f t="shared" si="6"/>
        <v>0</v>
      </c>
    </row>
    <row r="115" spans="2:11" x14ac:dyDescent="0.25">
      <c r="B115" s="112"/>
      <c r="C115" s="113"/>
      <c r="D115" s="113"/>
      <c r="E115" s="113"/>
      <c r="F115" s="113"/>
      <c r="G115" s="113"/>
      <c r="H115" s="113"/>
      <c r="I115" s="113"/>
      <c r="J115" s="113"/>
      <c r="K115" s="23">
        <f t="shared" si="6"/>
        <v>0</v>
      </c>
    </row>
    <row r="116" spans="2:11" x14ac:dyDescent="0.25">
      <c r="B116" s="112"/>
      <c r="C116" s="113"/>
      <c r="D116" s="113"/>
      <c r="E116" s="113"/>
      <c r="F116" s="113"/>
      <c r="G116" s="113"/>
      <c r="H116" s="113"/>
      <c r="I116" s="113"/>
      <c r="J116" s="113"/>
      <c r="K116" s="23">
        <f t="shared" si="6"/>
        <v>0</v>
      </c>
    </row>
    <row r="117" spans="2:11" ht="15.75" thickBot="1" x14ac:dyDescent="0.3">
      <c r="B117" s="114"/>
      <c r="C117" s="115"/>
      <c r="D117" s="115"/>
      <c r="E117" s="115"/>
      <c r="F117" s="123"/>
      <c r="G117" s="115"/>
      <c r="H117" s="115"/>
      <c r="I117" s="115"/>
      <c r="J117" s="115"/>
      <c r="K117" s="24">
        <f t="shared" si="6"/>
        <v>0</v>
      </c>
    </row>
    <row r="120" spans="2:11" x14ac:dyDescent="0.25">
      <c r="B120" s="137" t="s">
        <v>853</v>
      </c>
      <c r="C120" s="137"/>
      <c r="D120" s="137"/>
      <c r="E120" s="137"/>
      <c r="F120" s="137"/>
      <c r="G120" s="137"/>
      <c r="H120" s="137"/>
      <c r="I120" s="137"/>
      <c r="J120" s="137"/>
      <c r="K120" s="137"/>
    </row>
    <row r="121" spans="2:11" ht="15.75" thickBot="1" x14ac:dyDescent="0.3">
      <c r="B121" s="138"/>
      <c r="C121" s="138"/>
      <c r="D121" s="138"/>
      <c r="E121" s="138"/>
      <c r="F121" s="138"/>
      <c r="G121" s="138"/>
      <c r="H121" s="138"/>
      <c r="I121" s="138"/>
      <c r="J121" s="138"/>
      <c r="K121" s="138"/>
    </row>
    <row r="122" spans="2:11" ht="19.5" thickBot="1" x14ac:dyDescent="0.4">
      <c r="B122" s="10" t="s">
        <v>595</v>
      </c>
      <c r="C122" s="10" t="s">
        <v>597</v>
      </c>
      <c r="D122" s="10" t="s">
        <v>598</v>
      </c>
      <c r="E122" s="10" t="s">
        <v>599</v>
      </c>
      <c r="F122" s="99" t="s">
        <v>600</v>
      </c>
      <c r="G122" s="10" t="s">
        <v>58</v>
      </c>
      <c r="H122" s="10" t="s">
        <v>601</v>
      </c>
      <c r="I122" s="10" t="s">
        <v>602</v>
      </c>
      <c r="J122" s="10" t="s">
        <v>603</v>
      </c>
      <c r="K122" s="10" t="s">
        <v>60</v>
      </c>
    </row>
    <row r="123" spans="2:11" x14ac:dyDescent="0.25">
      <c r="B123" s="58"/>
      <c r="C123" s="34"/>
      <c r="D123" s="34"/>
      <c r="E123" s="34"/>
      <c r="F123" s="42"/>
      <c r="G123" s="7" t="str">
        <f>_xlfn.IFNA(VLOOKUP(B123,Päästökertoimet!$T$242:$Z$251,2,FALSE),"-")</f>
        <v>-</v>
      </c>
      <c r="H123" s="7" t="str">
        <f>_xlfn.IFNA(VLOOKUP(B123,Päästökertoimet!$T$242:$Z$251,3,FALSE),"-")</f>
        <v>-</v>
      </c>
      <c r="I123" s="7" t="str">
        <f>_xlfn.IFNA(VLOOKUP(B123,Päästökertoimet!$T$242:$Z$251,4,FALSE),"-")</f>
        <v>-</v>
      </c>
      <c r="J123" s="7" t="str">
        <f>_xlfn.IFNA(VLOOKUP(B123,Päästökertoimet!$T$242:$Z$251,5,FALSE),"-")</f>
        <v>-</v>
      </c>
      <c r="K123" s="23">
        <f>IFERROR(E123*I123,0)+IFERROR(F123*J123,0)+IFERROR(D123*H123,0)+IFERROR(C123*G123,0)</f>
        <v>0</v>
      </c>
    </row>
    <row r="124" spans="2:11" x14ac:dyDescent="0.25">
      <c r="B124" s="58"/>
      <c r="C124" s="27"/>
      <c r="D124" s="27"/>
      <c r="E124" s="27"/>
      <c r="F124" s="43"/>
      <c r="G124" s="7" t="str">
        <f>_xlfn.IFNA(VLOOKUP(B124,Päästökertoimet!$T$242:$Z$251,2,FALSE),"-")</f>
        <v>-</v>
      </c>
      <c r="H124" s="7" t="str">
        <f>_xlfn.IFNA(VLOOKUP(B124,Päästökertoimet!$T$242:$Z$251,3,FALSE),"-")</f>
        <v>-</v>
      </c>
      <c r="I124" s="7" t="str">
        <f>_xlfn.IFNA(VLOOKUP(B124,Päästökertoimet!$T$242:$Z$251,4,FALSE),"-")</f>
        <v>-</v>
      </c>
      <c r="J124" s="7" t="str">
        <f>_xlfn.IFNA(VLOOKUP(B124,Päästökertoimet!$T$242:$Z$251,5,FALSE),"-")</f>
        <v>-</v>
      </c>
      <c r="K124" s="23">
        <f t="shared" ref="K124:K133" si="7">IFERROR(E124*I124,0)+IFERROR(F124*J124,0)+IFERROR(D124*H124,0)+IFERROR(C124*G124,0)</f>
        <v>0</v>
      </c>
    </row>
    <row r="125" spans="2:11" x14ac:dyDescent="0.25">
      <c r="B125" s="58"/>
      <c r="C125" s="27"/>
      <c r="D125" s="27"/>
      <c r="E125" s="27"/>
      <c r="F125" s="43"/>
      <c r="G125" s="7" t="str">
        <f>_xlfn.IFNA(VLOOKUP(B125,Päästökertoimet!$T$242:$Z$251,2,FALSE),"-")</f>
        <v>-</v>
      </c>
      <c r="H125" s="7" t="str">
        <f>_xlfn.IFNA(VLOOKUP(B125,Päästökertoimet!$T$242:$Z$251,3,FALSE),"-")</f>
        <v>-</v>
      </c>
      <c r="I125" s="7" t="str">
        <f>_xlfn.IFNA(VLOOKUP(B125,Päästökertoimet!$T$242:$Z$251,4,FALSE),"-")</f>
        <v>-</v>
      </c>
      <c r="J125" s="7" t="str">
        <f>_xlfn.IFNA(VLOOKUP(B125,Päästökertoimet!$T$242:$Z$251,5,FALSE),"-")</f>
        <v>-</v>
      </c>
      <c r="K125" s="23">
        <f t="shared" si="7"/>
        <v>0</v>
      </c>
    </row>
    <row r="126" spans="2:11" x14ac:dyDescent="0.25">
      <c r="B126" s="58"/>
      <c r="C126" s="27"/>
      <c r="D126" s="27"/>
      <c r="E126" s="27"/>
      <c r="F126" s="43"/>
      <c r="G126" s="7" t="str">
        <f>_xlfn.IFNA(VLOOKUP(B126,Päästökertoimet!$T$242:$Z$251,2,FALSE),"-")</f>
        <v>-</v>
      </c>
      <c r="H126" s="7" t="str">
        <f>_xlfn.IFNA(VLOOKUP(B126,Päästökertoimet!$T$242:$Z$251,3,FALSE),"-")</f>
        <v>-</v>
      </c>
      <c r="I126" s="7" t="str">
        <f>_xlfn.IFNA(VLOOKUP(B126,Päästökertoimet!$T$242:$Z$251,4,FALSE),"-")</f>
        <v>-</v>
      </c>
      <c r="J126" s="7" t="str">
        <f>_xlfn.IFNA(VLOOKUP(B126,Päästökertoimet!$T$242:$Z$251,5,FALSE),"-")</f>
        <v>-</v>
      </c>
      <c r="K126" s="23">
        <f t="shared" si="7"/>
        <v>0</v>
      </c>
    </row>
    <row r="127" spans="2:11" x14ac:dyDescent="0.25">
      <c r="B127" s="58"/>
      <c r="C127" s="27"/>
      <c r="D127" s="27"/>
      <c r="E127" s="27"/>
      <c r="F127" s="43"/>
      <c r="G127" s="7" t="str">
        <f>_xlfn.IFNA(VLOOKUP(B127,Päästökertoimet!$T$242:$Z$251,2,FALSE),"-")</f>
        <v>-</v>
      </c>
      <c r="H127" s="7" t="str">
        <f>_xlfn.IFNA(VLOOKUP(B127,Päästökertoimet!$T$242:$Z$251,3,FALSE),"-")</f>
        <v>-</v>
      </c>
      <c r="I127" s="7" t="str">
        <f>_xlfn.IFNA(VLOOKUP(B127,Päästökertoimet!$T$242:$Z$251,4,FALSE),"-")</f>
        <v>-</v>
      </c>
      <c r="J127" s="7" t="str">
        <f>_xlfn.IFNA(VLOOKUP(B127,Päästökertoimet!$T$242:$Z$251,5,FALSE),"-")</f>
        <v>-</v>
      </c>
      <c r="K127" s="23">
        <f t="shared" si="7"/>
        <v>0</v>
      </c>
    </row>
    <row r="128" spans="2:11" x14ac:dyDescent="0.25">
      <c r="B128" s="58"/>
      <c r="C128" s="27"/>
      <c r="D128" s="27"/>
      <c r="E128" s="27"/>
      <c r="F128" s="43"/>
      <c r="G128" s="7" t="str">
        <f>_xlfn.IFNA(VLOOKUP(B128,Päästökertoimet!$T$242:$Z$251,2,FALSE),"-")</f>
        <v>-</v>
      </c>
      <c r="H128" s="7" t="str">
        <f>_xlfn.IFNA(VLOOKUP(B128,Päästökertoimet!$T$242:$Z$251,3,FALSE),"-")</f>
        <v>-</v>
      </c>
      <c r="I128" s="7" t="str">
        <f>_xlfn.IFNA(VLOOKUP(B128,Päästökertoimet!$T$242:$Z$251,4,FALSE),"-")</f>
        <v>-</v>
      </c>
      <c r="J128" s="7" t="str">
        <f>_xlfn.IFNA(VLOOKUP(B128,Päästökertoimet!$T$242:$Z$251,5,FALSE),"-")</f>
        <v>-</v>
      </c>
      <c r="K128" s="23">
        <f t="shared" si="7"/>
        <v>0</v>
      </c>
    </row>
    <row r="129" spans="2:11" x14ac:dyDescent="0.25">
      <c r="B129" s="58"/>
      <c r="C129" s="27"/>
      <c r="D129" s="27"/>
      <c r="E129" s="27"/>
      <c r="F129" s="43"/>
      <c r="G129" s="7" t="str">
        <f>_xlfn.IFNA(VLOOKUP(B129,Päästökertoimet!$T$242:$Z$251,2,FALSE),"-")</f>
        <v>-</v>
      </c>
      <c r="H129" s="7" t="str">
        <f>_xlfn.IFNA(VLOOKUP(B129,Päästökertoimet!$T$242:$Z$251,3,FALSE),"-")</f>
        <v>-</v>
      </c>
      <c r="I129" s="7" t="str">
        <f>_xlfn.IFNA(VLOOKUP(B129,Päästökertoimet!$T$242:$Z$251,4,FALSE),"-")</f>
        <v>-</v>
      </c>
      <c r="J129" s="7" t="str">
        <f>_xlfn.IFNA(VLOOKUP(B129,Päästökertoimet!$T$242:$Z$251,5,FALSE),"-")</f>
        <v>-</v>
      </c>
      <c r="K129" s="23">
        <f t="shared" si="7"/>
        <v>0</v>
      </c>
    </row>
    <row r="130" spans="2:11" x14ac:dyDescent="0.25">
      <c r="B130" s="58"/>
      <c r="C130" s="27"/>
      <c r="D130" s="27"/>
      <c r="E130" s="27"/>
      <c r="F130" s="43"/>
      <c r="G130" s="7" t="str">
        <f>_xlfn.IFNA(VLOOKUP(B130,Päästökertoimet!$T$242:$Z$251,2,FALSE),"-")</f>
        <v>-</v>
      </c>
      <c r="H130" s="7" t="str">
        <f>_xlfn.IFNA(VLOOKUP(B130,Päästökertoimet!$T$242:$Z$251,3,FALSE),"-")</f>
        <v>-</v>
      </c>
      <c r="I130" s="7" t="str">
        <f>_xlfn.IFNA(VLOOKUP(B130,Päästökertoimet!$T$242:$Z$251,4,FALSE),"-")</f>
        <v>-</v>
      </c>
      <c r="J130" s="7" t="str">
        <f>_xlfn.IFNA(VLOOKUP(B130,Päästökertoimet!$T$242:$Z$251,5,FALSE),"-")</f>
        <v>-</v>
      </c>
      <c r="K130" s="23">
        <f t="shared" si="7"/>
        <v>0</v>
      </c>
    </row>
    <row r="131" spans="2:11" x14ac:dyDescent="0.25">
      <c r="B131" s="112"/>
      <c r="C131" s="113"/>
      <c r="D131" s="113"/>
      <c r="E131" s="113"/>
      <c r="F131" s="113"/>
      <c r="G131" s="113"/>
      <c r="H131" s="113"/>
      <c r="I131" s="113"/>
      <c r="J131" s="113"/>
      <c r="K131" s="23">
        <f t="shared" si="7"/>
        <v>0</v>
      </c>
    </row>
    <row r="132" spans="2:11" x14ac:dyDescent="0.25">
      <c r="B132" s="112"/>
      <c r="C132" s="113"/>
      <c r="D132" s="113"/>
      <c r="E132" s="113"/>
      <c r="F132" s="113"/>
      <c r="G132" s="113"/>
      <c r="H132" s="113"/>
      <c r="I132" s="113"/>
      <c r="J132" s="113"/>
      <c r="K132" s="23">
        <f t="shared" si="7"/>
        <v>0</v>
      </c>
    </row>
    <row r="133" spans="2:11" ht="15.75" thickBot="1" x14ac:dyDescent="0.3">
      <c r="B133" s="114"/>
      <c r="C133" s="115"/>
      <c r="D133" s="115"/>
      <c r="E133" s="115"/>
      <c r="F133" s="123"/>
      <c r="G133" s="115"/>
      <c r="H133" s="115"/>
      <c r="I133" s="115"/>
      <c r="J133" s="115"/>
      <c r="K133" s="24">
        <f t="shared" si="7"/>
        <v>0</v>
      </c>
    </row>
    <row r="136" spans="2:11" x14ac:dyDescent="0.25">
      <c r="B136" s="137" t="s">
        <v>901</v>
      </c>
      <c r="C136" s="137"/>
      <c r="D136" s="137"/>
      <c r="E136" s="137"/>
      <c r="F136" s="137"/>
      <c r="G136" s="137"/>
      <c r="H136" s="137"/>
      <c r="I136" s="137"/>
      <c r="J136" s="137"/>
      <c r="K136" s="137"/>
    </row>
    <row r="137" spans="2:11" ht="15.75" thickBot="1" x14ac:dyDescent="0.3">
      <c r="B137" s="138"/>
      <c r="C137" s="138"/>
      <c r="D137" s="138"/>
      <c r="E137" s="138"/>
      <c r="F137" s="138"/>
      <c r="G137" s="138"/>
      <c r="H137" s="138"/>
      <c r="I137" s="138"/>
      <c r="J137" s="138"/>
      <c r="K137" s="138"/>
    </row>
    <row r="138" spans="2:11" ht="19.5" thickBot="1" x14ac:dyDescent="0.4">
      <c r="B138" s="10" t="s">
        <v>595</v>
      </c>
      <c r="C138" s="10" t="s">
        <v>597</v>
      </c>
      <c r="D138" s="10" t="s">
        <v>598</v>
      </c>
      <c r="E138" s="10" t="s">
        <v>599</v>
      </c>
      <c r="F138" s="99" t="s">
        <v>600</v>
      </c>
      <c r="G138" s="10" t="s">
        <v>58</v>
      </c>
      <c r="H138" s="10" t="s">
        <v>601</v>
      </c>
      <c r="I138" s="10" t="s">
        <v>602</v>
      </c>
      <c r="J138" s="10" t="s">
        <v>603</v>
      </c>
      <c r="K138" s="10" t="s">
        <v>60</v>
      </c>
    </row>
    <row r="139" spans="2:11" x14ac:dyDescent="0.25">
      <c r="B139" s="58"/>
      <c r="C139" s="34"/>
      <c r="D139" s="34"/>
      <c r="E139" s="34"/>
      <c r="F139" s="42"/>
      <c r="G139" s="7" t="str">
        <f>_xlfn.IFNA(VLOOKUP(B139,Päästökertoimet!$T$257:$Z$293,2,FALSE),"-")</f>
        <v>-</v>
      </c>
      <c r="H139" s="7" t="str">
        <f>_xlfn.IFNA(VLOOKUP(B139,Päästökertoimet!$T$257:$Z$293,3,FALSE),"-")</f>
        <v>-</v>
      </c>
      <c r="I139" s="7" t="str">
        <f>_xlfn.IFNA(VLOOKUP(B139,Päästökertoimet!$T$257:$Z$293,4,FALSE),"-")</f>
        <v>-</v>
      </c>
      <c r="J139" s="7" t="str">
        <f>_xlfn.IFNA(VLOOKUP(B139,Päästökertoimet!$T$257:$Z$293,5,FALSE),"-")</f>
        <v>-</v>
      </c>
      <c r="K139" s="23">
        <f>IFERROR(E139*I139,0)+IFERROR(F139*J139,0)+IFERROR(D139*H139,0)+IFERROR(C139*G139,0)</f>
        <v>0</v>
      </c>
    </row>
    <row r="140" spans="2:11" x14ac:dyDescent="0.25">
      <c r="B140" s="58"/>
      <c r="C140" s="27"/>
      <c r="D140" s="27"/>
      <c r="E140" s="27"/>
      <c r="F140" s="43"/>
      <c r="G140" s="7" t="str">
        <f>_xlfn.IFNA(VLOOKUP(B140,Päästökertoimet!$T$257:$Z$293,2,FALSE),"-")</f>
        <v>-</v>
      </c>
      <c r="H140" s="7" t="str">
        <f>_xlfn.IFNA(VLOOKUP(B140,Päästökertoimet!$T$257:$Z$293,3,FALSE),"-")</f>
        <v>-</v>
      </c>
      <c r="I140" s="7" t="str">
        <f>_xlfn.IFNA(VLOOKUP(B140,Päästökertoimet!$T$257:$Z$293,4,FALSE),"-")</f>
        <v>-</v>
      </c>
      <c r="J140" s="7" t="str">
        <f>_xlfn.IFNA(VLOOKUP(B140,Päästökertoimet!$T$257:$Z$293,5,FALSE),"-")</f>
        <v>-</v>
      </c>
      <c r="K140" s="23">
        <f t="shared" ref="K140:K149" si="8">IFERROR(E140*I140,0)+IFERROR(F140*J140,0)+IFERROR(D140*H140,0)+IFERROR(C140*G140,0)</f>
        <v>0</v>
      </c>
    </row>
    <row r="141" spans="2:11" x14ac:dyDescent="0.25">
      <c r="B141" s="58"/>
      <c r="C141" s="27"/>
      <c r="D141" s="27"/>
      <c r="E141" s="27"/>
      <c r="F141" s="43"/>
      <c r="G141" s="7" t="str">
        <f>_xlfn.IFNA(VLOOKUP(B141,Päästökertoimet!$T$257:$Z$293,2,FALSE),"-")</f>
        <v>-</v>
      </c>
      <c r="H141" s="7" t="str">
        <f>_xlfn.IFNA(VLOOKUP(B141,Päästökertoimet!$T$257:$Z$293,3,FALSE),"-")</f>
        <v>-</v>
      </c>
      <c r="I141" s="7" t="str">
        <f>_xlfn.IFNA(VLOOKUP(B141,Päästökertoimet!$T$257:$Z$293,4,FALSE),"-")</f>
        <v>-</v>
      </c>
      <c r="J141" s="7" t="str">
        <f>_xlfn.IFNA(VLOOKUP(B141,Päästökertoimet!$T$257:$Z$293,5,FALSE),"-")</f>
        <v>-</v>
      </c>
      <c r="K141" s="23">
        <f t="shared" si="8"/>
        <v>0</v>
      </c>
    </row>
    <row r="142" spans="2:11" x14ac:dyDescent="0.25">
      <c r="B142" s="58"/>
      <c r="C142" s="27"/>
      <c r="D142" s="27"/>
      <c r="E142" s="27"/>
      <c r="F142" s="43"/>
      <c r="G142" s="7" t="str">
        <f>_xlfn.IFNA(VLOOKUP(B142,Päästökertoimet!$T$257:$Z$293,2,FALSE),"-")</f>
        <v>-</v>
      </c>
      <c r="H142" s="7" t="str">
        <f>_xlfn.IFNA(VLOOKUP(B142,Päästökertoimet!$T$257:$Z$293,3,FALSE),"-")</f>
        <v>-</v>
      </c>
      <c r="I142" s="7" t="str">
        <f>_xlfn.IFNA(VLOOKUP(B142,Päästökertoimet!$T$257:$Z$293,4,FALSE),"-")</f>
        <v>-</v>
      </c>
      <c r="J142" s="7" t="str">
        <f>_xlfn.IFNA(VLOOKUP(B142,Päästökertoimet!$T$257:$Z$293,5,FALSE),"-")</f>
        <v>-</v>
      </c>
      <c r="K142" s="23">
        <f t="shared" si="8"/>
        <v>0</v>
      </c>
    </row>
    <row r="143" spans="2:11" x14ac:dyDescent="0.25">
      <c r="B143" s="58"/>
      <c r="C143" s="27"/>
      <c r="D143" s="27"/>
      <c r="E143" s="27"/>
      <c r="F143" s="43"/>
      <c r="G143" s="7" t="str">
        <f>_xlfn.IFNA(VLOOKUP(B143,Päästökertoimet!$T$257:$Z$293,2,FALSE),"-")</f>
        <v>-</v>
      </c>
      <c r="H143" s="7" t="str">
        <f>_xlfn.IFNA(VLOOKUP(B143,Päästökertoimet!$T$257:$Z$293,3,FALSE),"-")</f>
        <v>-</v>
      </c>
      <c r="I143" s="7" t="str">
        <f>_xlfn.IFNA(VLOOKUP(B143,Päästökertoimet!$T$257:$Z$293,4,FALSE),"-")</f>
        <v>-</v>
      </c>
      <c r="J143" s="7" t="str">
        <f>_xlfn.IFNA(VLOOKUP(B143,Päästökertoimet!$T$257:$Z$293,5,FALSE),"-")</f>
        <v>-</v>
      </c>
      <c r="K143" s="23">
        <f t="shared" si="8"/>
        <v>0</v>
      </c>
    </row>
    <row r="144" spans="2:11" x14ac:dyDescent="0.25">
      <c r="B144" s="58"/>
      <c r="C144" s="27"/>
      <c r="D144" s="27"/>
      <c r="E144" s="27"/>
      <c r="F144" s="43"/>
      <c r="G144" s="7" t="str">
        <f>_xlfn.IFNA(VLOOKUP(B144,Päästökertoimet!$T$257:$Z$293,2,FALSE),"-")</f>
        <v>-</v>
      </c>
      <c r="H144" s="7" t="str">
        <f>_xlfn.IFNA(VLOOKUP(B144,Päästökertoimet!$T$257:$Z$293,3,FALSE),"-")</f>
        <v>-</v>
      </c>
      <c r="I144" s="7" t="str">
        <f>_xlfn.IFNA(VLOOKUP(B144,Päästökertoimet!$T$257:$Z$293,4,FALSE),"-")</f>
        <v>-</v>
      </c>
      <c r="J144" s="7" t="str">
        <f>_xlfn.IFNA(VLOOKUP(B144,Päästökertoimet!$T$257:$Z$293,5,FALSE),"-")</f>
        <v>-</v>
      </c>
      <c r="K144" s="23">
        <f t="shared" si="8"/>
        <v>0</v>
      </c>
    </row>
    <row r="145" spans="2:11" x14ac:dyDescent="0.25">
      <c r="B145" s="58"/>
      <c r="C145" s="27"/>
      <c r="D145" s="27"/>
      <c r="E145" s="27"/>
      <c r="F145" s="43"/>
      <c r="G145" s="7" t="str">
        <f>_xlfn.IFNA(VLOOKUP(B145,Päästökertoimet!$T$257:$Z$293,2,FALSE),"-")</f>
        <v>-</v>
      </c>
      <c r="H145" s="7" t="str">
        <f>_xlfn.IFNA(VLOOKUP(B145,Päästökertoimet!$T$257:$Z$293,3,FALSE),"-")</f>
        <v>-</v>
      </c>
      <c r="I145" s="7" t="str">
        <f>_xlfn.IFNA(VLOOKUP(B145,Päästökertoimet!$T$257:$Z$293,4,FALSE),"-")</f>
        <v>-</v>
      </c>
      <c r="J145" s="7" t="str">
        <f>_xlfn.IFNA(VLOOKUP(B145,Päästökertoimet!$T$257:$Z$293,5,FALSE),"-")</f>
        <v>-</v>
      </c>
      <c r="K145" s="23">
        <f t="shared" si="8"/>
        <v>0</v>
      </c>
    </row>
    <row r="146" spans="2:11" x14ac:dyDescent="0.25">
      <c r="B146" s="58"/>
      <c r="C146" s="27"/>
      <c r="D146" s="27"/>
      <c r="E146" s="27"/>
      <c r="F146" s="43"/>
      <c r="G146" s="7" t="str">
        <f>_xlfn.IFNA(VLOOKUP(B146,Päästökertoimet!$T$257:$Z$293,2,FALSE),"-")</f>
        <v>-</v>
      </c>
      <c r="H146" s="7" t="str">
        <f>_xlfn.IFNA(VLOOKUP(B146,Päästökertoimet!$T$257:$Z$293,3,FALSE),"-")</f>
        <v>-</v>
      </c>
      <c r="I146" s="7" t="str">
        <f>_xlfn.IFNA(VLOOKUP(B146,Päästökertoimet!$T$257:$Z$293,4,FALSE),"-")</f>
        <v>-</v>
      </c>
      <c r="J146" s="7" t="str">
        <f>_xlfn.IFNA(VLOOKUP(B146,Päästökertoimet!$T$257:$Z$293,5,FALSE),"-")</f>
        <v>-</v>
      </c>
      <c r="K146" s="23">
        <f t="shared" si="8"/>
        <v>0</v>
      </c>
    </row>
    <row r="147" spans="2:11" x14ac:dyDescent="0.25">
      <c r="B147" s="112"/>
      <c r="C147" s="113"/>
      <c r="D147" s="113"/>
      <c r="E147" s="113"/>
      <c r="F147" s="113"/>
      <c r="G147" s="113"/>
      <c r="H147" s="113"/>
      <c r="I147" s="113"/>
      <c r="J147" s="113"/>
      <c r="K147" s="23">
        <f t="shared" si="8"/>
        <v>0</v>
      </c>
    </row>
    <row r="148" spans="2:11" x14ac:dyDescent="0.25">
      <c r="B148" s="112"/>
      <c r="C148" s="113"/>
      <c r="D148" s="113"/>
      <c r="E148" s="113"/>
      <c r="F148" s="113"/>
      <c r="G148" s="113"/>
      <c r="H148" s="113"/>
      <c r="I148" s="113"/>
      <c r="J148" s="113"/>
      <c r="K148" s="23">
        <f t="shared" si="8"/>
        <v>0</v>
      </c>
    </row>
    <row r="149" spans="2:11" ht="15.75" thickBot="1" x14ac:dyDescent="0.3">
      <c r="B149" s="114"/>
      <c r="C149" s="115"/>
      <c r="D149" s="115"/>
      <c r="E149" s="115"/>
      <c r="F149" s="123"/>
      <c r="G149" s="115"/>
      <c r="H149" s="115"/>
      <c r="I149" s="115"/>
      <c r="J149" s="115"/>
      <c r="K149" s="24">
        <f t="shared" si="8"/>
        <v>0</v>
      </c>
    </row>
    <row r="152" spans="2:11" x14ac:dyDescent="0.25">
      <c r="B152" s="137" t="s">
        <v>902</v>
      </c>
      <c r="C152" s="137"/>
      <c r="D152" s="137"/>
      <c r="E152" s="137"/>
      <c r="F152" s="137"/>
      <c r="G152" s="137"/>
      <c r="H152" s="137"/>
      <c r="I152" s="137"/>
      <c r="J152" s="137"/>
      <c r="K152" s="137"/>
    </row>
    <row r="153" spans="2:11" ht="15.75" thickBot="1" x14ac:dyDescent="0.3">
      <c r="B153" s="138"/>
      <c r="C153" s="138"/>
      <c r="D153" s="138"/>
      <c r="E153" s="138"/>
      <c r="F153" s="138"/>
      <c r="G153" s="138"/>
      <c r="H153" s="138"/>
      <c r="I153" s="138"/>
      <c r="J153" s="138"/>
      <c r="K153" s="138"/>
    </row>
    <row r="154" spans="2:11" ht="19.5" thickBot="1" x14ac:dyDescent="0.4">
      <c r="B154" s="10" t="s">
        <v>595</v>
      </c>
      <c r="C154" s="10" t="s">
        <v>597</v>
      </c>
      <c r="D154" s="10" t="s">
        <v>598</v>
      </c>
      <c r="E154" s="10" t="s">
        <v>599</v>
      </c>
      <c r="F154" s="99" t="s">
        <v>600</v>
      </c>
      <c r="G154" s="10" t="s">
        <v>58</v>
      </c>
      <c r="H154" s="10" t="s">
        <v>601</v>
      </c>
      <c r="I154" s="10" t="s">
        <v>602</v>
      </c>
      <c r="J154" s="10" t="s">
        <v>603</v>
      </c>
      <c r="K154" s="10" t="s">
        <v>60</v>
      </c>
    </row>
    <row r="155" spans="2:11" x14ac:dyDescent="0.25">
      <c r="B155" s="58"/>
      <c r="C155" s="34"/>
      <c r="D155" s="34"/>
      <c r="E155" s="34"/>
      <c r="F155" s="42"/>
      <c r="G155" s="7" t="str">
        <f>_xlfn.IFNA(VLOOKUP(B155,Päästökertoimet!$AA$3:$AE$22,2,FALSE),"-")</f>
        <v>-</v>
      </c>
      <c r="H155" s="7" t="str">
        <f>_xlfn.IFNA(VLOOKUP(B155,Päästökertoimet!$AA$3:$AE$22,3,FALSE),"-")</f>
        <v>-</v>
      </c>
      <c r="I155" s="7" t="str">
        <f>_xlfn.IFNA(VLOOKUP(B155,Päästökertoimet!$AA$3:$AE$22,4,FALSE),"-")</f>
        <v>-</v>
      </c>
      <c r="J155" s="7" t="str">
        <f>_xlfn.IFNA(VLOOKUP(B155,Päästökertoimet!$AA$3:$AE$22,5,FALSE),"-")</f>
        <v>-</v>
      </c>
      <c r="K155" s="23">
        <f>IFERROR(E155*I155,0)+IFERROR(F155*J155,0)+IFERROR(D155*H155,0)+IFERROR(C155*G155,0)</f>
        <v>0</v>
      </c>
    </row>
    <row r="156" spans="2:11" x14ac:dyDescent="0.25">
      <c r="B156" s="58"/>
      <c r="C156" s="27"/>
      <c r="D156" s="27"/>
      <c r="E156" s="27"/>
      <c r="F156" s="43"/>
      <c r="G156" s="7" t="str">
        <f>_xlfn.IFNA(VLOOKUP(B156,Päästökertoimet!$AA$3:$AE$22,2,FALSE),"-")</f>
        <v>-</v>
      </c>
      <c r="H156" s="7" t="str">
        <f>_xlfn.IFNA(VLOOKUP(B156,Päästökertoimet!$AA$3:$AE$22,3,FALSE),"-")</f>
        <v>-</v>
      </c>
      <c r="I156" s="7" t="str">
        <f>_xlfn.IFNA(VLOOKUP(B156,Päästökertoimet!$AA$3:$AE$22,4,FALSE),"-")</f>
        <v>-</v>
      </c>
      <c r="J156" s="7" t="str">
        <f>_xlfn.IFNA(VLOOKUP(B156,Päästökertoimet!$AA$3:$AE$22,5,FALSE),"-")</f>
        <v>-</v>
      </c>
      <c r="K156" s="23">
        <f t="shared" ref="K156:K165" si="9">IFERROR(E156*I156,0)+IFERROR(F156*J156,0)+IFERROR(D156*H156,0)+IFERROR(C156*G156,0)</f>
        <v>0</v>
      </c>
    </row>
    <row r="157" spans="2:11" x14ac:dyDescent="0.25">
      <c r="B157" s="58"/>
      <c r="C157" s="27"/>
      <c r="D157" s="27"/>
      <c r="E157" s="27"/>
      <c r="F157" s="43"/>
      <c r="G157" s="7" t="str">
        <f>_xlfn.IFNA(VLOOKUP(B157,Päästökertoimet!$AA$3:$AE$22,2,FALSE),"-")</f>
        <v>-</v>
      </c>
      <c r="H157" s="7" t="str">
        <f>_xlfn.IFNA(VLOOKUP(B157,Päästökertoimet!$AA$3:$AE$22,3,FALSE),"-")</f>
        <v>-</v>
      </c>
      <c r="I157" s="7" t="str">
        <f>_xlfn.IFNA(VLOOKUP(B157,Päästökertoimet!$AA$3:$AE$22,4,FALSE),"-")</f>
        <v>-</v>
      </c>
      <c r="J157" s="7" t="str">
        <f>_xlfn.IFNA(VLOOKUP(B157,Päästökertoimet!$AA$3:$AE$22,5,FALSE),"-")</f>
        <v>-</v>
      </c>
      <c r="K157" s="23">
        <f>IFERROR(E157*I157,0)+IFERROR(F157*J157,0)+IFERROR(D157*H157,0)+IFERROR(C157*G157,0)</f>
        <v>0</v>
      </c>
    </row>
    <row r="158" spans="2:11" x14ac:dyDescent="0.25">
      <c r="B158" s="58"/>
      <c r="C158" s="27"/>
      <c r="D158" s="27"/>
      <c r="E158" s="27"/>
      <c r="F158" s="43"/>
      <c r="G158" s="7" t="str">
        <f>_xlfn.IFNA(VLOOKUP(B158,Päästökertoimet!$AA$3:$AE$22,2,FALSE),"-")</f>
        <v>-</v>
      </c>
      <c r="H158" s="7" t="str">
        <f>_xlfn.IFNA(VLOOKUP(B158,Päästökertoimet!$AA$3:$AE$22,3,FALSE),"-")</f>
        <v>-</v>
      </c>
      <c r="I158" s="7" t="str">
        <f>_xlfn.IFNA(VLOOKUP(B158,Päästökertoimet!$AA$3:$AE$22,4,FALSE),"-")</f>
        <v>-</v>
      </c>
      <c r="J158" s="7" t="str">
        <f>_xlfn.IFNA(VLOOKUP(B158,Päästökertoimet!$AA$3:$AE$22,5,FALSE),"-")</f>
        <v>-</v>
      </c>
      <c r="K158" s="23">
        <f t="shared" si="9"/>
        <v>0</v>
      </c>
    </row>
    <row r="159" spans="2:11" x14ac:dyDescent="0.25">
      <c r="B159" s="58"/>
      <c r="C159" s="27"/>
      <c r="D159" s="27"/>
      <c r="E159" s="27"/>
      <c r="F159" s="43"/>
      <c r="G159" s="7" t="str">
        <f>_xlfn.IFNA(VLOOKUP(B159,Päästökertoimet!$AA$3:$AE$22,2,FALSE),"-")</f>
        <v>-</v>
      </c>
      <c r="H159" s="7" t="str">
        <f>_xlfn.IFNA(VLOOKUP(B159,Päästökertoimet!$AA$3:$AE$22,3,FALSE),"-")</f>
        <v>-</v>
      </c>
      <c r="I159" s="7" t="str">
        <f>_xlfn.IFNA(VLOOKUP(B159,Päästökertoimet!$AA$3:$AE$22,4,FALSE),"-")</f>
        <v>-</v>
      </c>
      <c r="J159" s="7" t="str">
        <f>_xlfn.IFNA(VLOOKUP(B159,Päästökertoimet!$AA$3:$AE$22,5,FALSE),"-")</f>
        <v>-</v>
      </c>
      <c r="K159" s="23">
        <f t="shared" si="9"/>
        <v>0</v>
      </c>
    </row>
    <row r="160" spans="2:11" x14ac:dyDescent="0.25">
      <c r="B160" s="58"/>
      <c r="C160" s="27"/>
      <c r="D160" s="27"/>
      <c r="E160" s="27"/>
      <c r="F160" s="43"/>
      <c r="G160" s="7" t="str">
        <f>_xlfn.IFNA(VLOOKUP(B160,Päästökertoimet!$AA$3:$AE$22,2,FALSE),"-")</f>
        <v>-</v>
      </c>
      <c r="H160" s="7" t="str">
        <f>_xlfn.IFNA(VLOOKUP(B160,Päästökertoimet!$AA$3:$AE$22,3,FALSE),"-")</f>
        <v>-</v>
      </c>
      <c r="I160" s="7" t="str">
        <f>_xlfn.IFNA(VLOOKUP(B160,Päästökertoimet!$AA$3:$AE$22,4,FALSE),"-")</f>
        <v>-</v>
      </c>
      <c r="J160" s="7" t="str">
        <f>_xlfn.IFNA(VLOOKUP(B160,Päästökertoimet!$AA$3:$AE$22,5,FALSE),"-")</f>
        <v>-</v>
      </c>
      <c r="K160" s="23">
        <f t="shared" si="9"/>
        <v>0</v>
      </c>
    </row>
    <row r="161" spans="2:11" x14ac:dyDescent="0.25">
      <c r="B161" s="58"/>
      <c r="C161" s="27"/>
      <c r="D161" s="27"/>
      <c r="E161" s="27"/>
      <c r="F161" s="43"/>
      <c r="G161" s="7" t="str">
        <f>_xlfn.IFNA(VLOOKUP(B161,Päästökertoimet!$AA$3:$AE$22,2,FALSE),"-")</f>
        <v>-</v>
      </c>
      <c r="H161" s="7" t="str">
        <f>_xlfn.IFNA(VLOOKUP(B161,Päästökertoimet!$AA$3:$AE$22,3,FALSE),"-")</f>
        <v>-</v>
      </c>
      <c r="I161" s="7" t="str">
        <f>_xlfn.IFNA(VLOOKUP(B161,Päästökertoimet!$AA$3:$AE$22,4,FALSE),"-")</f>
        <v>-</v>
      </c>
      <c r="J161" s="7" t="str">
        <f>_xlfn.IFNA(VLOOKUP(B161,Päästökertoimet!$AA$3:$AE$22,5,FALSE),"-")</f>
        <v>-</v>
      </c>
      <c r="K161" s="23">
        <f t="shared" si="9"/>
        <v>0</v>
      </c>
    </row>
    <row r="162" spans="2:11" x14ac:dyDescent="0.25">
      <c r="B162" s="58"/>
      <c r="C162" s="27"/>
      <c r="D162" s="27"/>
      <c r="E162" s="27"/>
      <c r="F162" s="43"/>
      <c r="G162" s="7" t="str">
        <f>_xlfn.IFNA(VLOOKUP(B162,Päästökertoimet!$AA$3:$AE$22,2,FALSE),"-")</f>
        <v>-</v>
      </c>
      <c r="H162" s="7" t="str">
        <f>_xlfn.IFNA(VLOOKUP(B162,Päästökertoimet!$AA$3:$AE$22,3,FALSE),"-")</f>
        <v>-</v>
      </c>
      <c r="I162" s="7" t="str">
        <f>_xlfn.IFNA(VLOOKUP(B162,Päästökertoimet!$AA$3:$AE$22,4,FALSE),"-")</f>
        <v>-</v>
      </c>
      <c r="J162" s="7" t="str">
        <f>_xlfn.IFNA(VLOOKUP(B162,Päästökertoimet!$AA$3:$AE$22,5,FALSE),"-")</f>
        <v>-</v>
      </c>
      <c r="K162" s="23">
        <f t="shared" si="9"/>
        <v>0</v>
      </c>
    </row>
    <row r="163" spans="2:11" x14ac:dyDescent="0.25">
      <c r="B163" s="112"/>
      <c r="C163" s="113"/>
      <c r="D163" s="113"/>
      <c r="E163" s="113"/>
      <c r="F163" s="113"/>
      <c r="G163" s="113"/>
      <c r="H163" s="113"/>
      <c r="I163" s="113"/>
      <c r="J163" s="113"/>
      <c r="K163" s="23">
        <f t="shared" si="9"/>
        <v>0</v>
      </c>
    </row>
    <row r="164" spans="2:11" x14ac:dyDescent="0.25">
      <c r="B164" s="112"/>
      <c r="C164" s="113"/>
      <c r="D164" s="113"/>
      <c r="E164" s="113"/>
      <c r="F164" s="113"/>
      <c r="G164" s="113"/>
      <c r="H164" s="113"/>
      <c r="I164" s="113"/>
      <c r="J164" s="113"/>
      <c r="K164" s="23">
        <f t="shared" si="9"/>
        <v>0</v>
      </c>
    </row>
    <row r="165" spans="2:11" ht="15.75" thickBot="1" x14ac:dyDescent="0.3">
      <c r="B165" s="114"/>
      <c r="C165" s="115"/>
      <c r="D165" s="115"/>
      <c r="E165" s="115"/>
      <c r="F165" s="123"/>
      <c r="G165" s="115"/>
      <c r="H165" s="115"/>
      <c r="I165" s="115"/>
      <c r="J165" s="115"/>
      <c r="K165" s="24">
        <f t="shared" si="9"/>
        <v>0</v>
      </c>
    </row>
    <row r="168" spans="2:11" x14ac:dyDescent="0.25">
      <c r="B168" s="137" t="s">
        <v>1027</v>
      </c>
      <c r="C168" s="137"/>
      <c r="D168" s="137"/>
      <c r="E168" s="137"/>
      <c r="F168" s="137"/>
      <c r="G168" s="137"/>
      <c r="H168" s="137"/>
      <c r="I168" s="137"/>
      <c r="J168" s="137"/>
      <c r="K168" s="137"/>
    </row>
    <row r="169" spans="2:11" ht="15.75" thickBot="1" x14ac:dyDescent="0.3">
      <c r="B169" s="138"/>
      <c r="C169" s="138"/>
      <c r="D169" s="138"/>
      <c r="E169" s="138"/>
      <c r="F169" s="138"/>
      <c r="G169" s="138"/>
      <c r="H169" s="138"/>
      <c r="I169" s="138"/>
      <c r="J169" s="138"/>
      <c r="K169" s="138"/>
    </row>
    <row r="170" spans="2:11" ht="19.5" thickBot="1" x14ac:dyDescent="0.4">
      <c r="B170" s="10" t="s">
        <v>595</v>
      </c>
      <c r="C170" s="10" t="s">
        <v>597</v>
      </c>
      <c r="D170" s="10" t="s">
        <v>598</v>
      </c>
      <c r="E170" s="10" t="s">
        <v>599</v>
      </c>
      <c r="F170" s="99" t="s">
        <v>600</v>
      </c>
      <c r="G170" s="10" t="s">
        <v>58</v>
      </c>
      <c r="H170" s="10" t="s">
        <v>601</v>
      </c>
      <c r="I170" s="10" t="s">
        <v>602</v>
      </c>
      <c r="J170" s="10" t="s">
        <v>603</v>
      </c>
      <c r="K170" s="10" t="s">
        <v>60</v>
      </c>
    </row>
    <row r="171" spans="2:11" x14ac:dyDescent="0.25">
      <c r="B171" s="58"/>
      <c r="C171" s="34"/>
      <c r="D171" s="34"/>
      <c r="E171" s="34"/>
      <c r="F171" s="42"/>
      <c r="G171" s="7" t="str">
        <f>_xlfn.IFNA(VLOOKUP(B171,Päästökertoimet!$AA$28:$AG$130,2,FALSE),"-")</f>
        <v>-</v>
      </c>
      <c r="H171" s="7" t="str">
        <f>_xlfn.IFNA(VLOOKUP(B171,Päästökertoimet!$AA$28:$AG$130,3,FALSE),"-")</f>
        <v>-</v>
      </c>
      <c r="I171" s="7" t="str">
        <f>_xlfn.IFNA(VLOOKUP(B171,Päästökertoimet!$AA$28:$AG$130,4,FALSE),"-")</f>
        <v>-</v>
      </c>
      <c r="J171" s="7" t="str">
        <f>_xlfn.IFNA(VLOOKUP(B171,Päästökertoimet!$AA$28:$AG$130,5,FALSE),"-")</f>
        <v>-</v>
      </c>
      <c r="K171" s="23">
        <f>IFERROR(E171*I171,0)+IFERROR(F171*J171,0)+IFERROR(D171*H171,0)+IFERROR(C171*G171,0)</f>
        <v>0</v>
      </c>
    </row>
    <row r="172" spans="2:11" x14ac:dyDescent="0.25">
      <c r="B172" s="58"/>
      <c r="C172" s="27"/>
      <c r="D172" s="27"/>
      <c r="E172" s="27"/>
      <c r="F172" s="43"/>
      <c r="G172" s="7" t="str">
        <f>_xlfn.IFNA(VLOOKUP(B172,Päästökertoimet!$AA$28:$AG$130,2,FALSE),"-")</f>
        <v>-</v>
      </c>
      <c r="H172" s="7" t="str">
        <f>_xlfn.IFNA(VLOOKUP(B172,Päästökertoimet!$AA$28:$AG$130,3,FALSE),"-")</f>
        <v>-</v>
      </c>
      <c r="I172" s="7" t="str">
        <f>_xlfn.IFNA(VLOOKUP(B172,Päästökertoimet!$AA$28:$AG$130,4,FALSE),"-")</f>
        <v>-</v>
      </c>
      <c r="J172" s="7" t="str">
        <f>_xlfn.IFNA(VLOOKUP(B172,Päästökertoimet!$AA$28:$AG$130,5,FALSE),"-")</f>
        <v>-</v>
      </c>
      <c r="K172" s="23">
        <f t="shared" ref="K172:K181" si="10">IFERROR(E172*I172,0)+IFERROR(F172*J172,0)+IFERROR(D172*H172,0)+IFERROR(C172*G172,0)</f>
        <v>0</v>
      </c>
    </row>
    <row r="173" spans="2:11" x14ac:dyDescent="0.25">
      <c r="B173" s="58"/>
      <c r="C173" s="27"/>
      <c r="D173" s="27"/>
      <c r="E173" s="27"/>
      <c r="F173" s="43"/>
      <c r="G173" s="7" t="str">
        <f>_xlfn.IFNA(VLOOKUP(B173,Päästökertoimet!$AA$28:$AG$130,2,FALSE),"-")</f>
        <v>-</v>
      </c>
      <c r="H173" s="7" t="str">
        <f>_xlfn.IFNA(VLOOKUP(B173,Päästökertoimet!$AA$28:$AG$130,3,FALSE),"-")</f>
        <v>-</v>
      </c>
      <c r="I173" s="7" t="str">
        <f>_xlfn.IFNA(VLOOKUP(B173,Päästökertoimet!$AA$28:$AG$130,4,FALSE),"-")</f>
        <v>-</v>
      </c>
      <c r="J173" s="7" t="str">
        <f>_xlfn.IFNA(VLOOKUP(B173,Päästökertoimet!$AA$28:$AG$130,5,FALSE),"-")</f>
        <v>-</v>
      </c>
      <c r="K173" s="23">
        <f t="shared" si="10"/>
        <v>0</v>
      </c>
    </row>
    <row r="174" spans="2:11" x14ac:dyDescent="0.25">
      <c r="B174" s="58"/>
      <c r="C174" s="27"/>
      <c r="D174" s="27"/>
      <c r="E174" s="27"/>
      <c r="F174" s="43"/>
      <c r="G174" s="7" t="str">
        <f>_xlfn.IFNA(VLOOKUP(B174,Päästökertoimet!$AA$28:$AG$130,2,FALSE),"-")</f>
        <v>-</v>
      </c>
      <c r="H174" s="7" t="str">
        <f>_xlfn.IFNA(VLOOKUP(B174,Päästökertoimet!$AA$28:$AG$130,3,FALSE),"-")</f>
        <v>-</v>
      </c>
      <c r="I174" s="7" t="str">
        <f>_xlfn.IFNA(VLOOKUP(B174,Päästökertoimet!$AA$28:$AG$130,4,FALSE),"-")</f>
        <v>-</v>
      </c>
      <c r="J174" s="7" t="str">
        <f>_xlfn.IFNA(VLOOKUP(B174,Päästökertoimet!$AA$28:$AG$130,5,FALSE),"-")</f>
        <v>-</v>
      </c>
      <c r="K174" s="23">
        <f t="shared" si="10"/>
        <v>0</v>
      </c>
    </row>
    <row r="175" spans="2:11" x14ac:dyDescent="0.25">
      <c r="B175" s="58"/>
      <c r="C175" s="27"/>
      <c r="D175" s="27"/>
      <c r="E175" s="27"/>
      <c r="F175" s="43"/>
      <c r="G175" s="7" t="str">
        <f>_xlfn.IFNA(VLOOKUP(B175,Päästökertoimet!$AA$28:$AG$130,2,FALSE),"-")</f>
        <v>-</v>
      </c>
      <c r="H175" s="7" t="str">
        <f>_xlfn.IFNA(VLOOKUP(B175,Päästökertoimet!$AA$28:$AG$130,3,FALSE),"-")</f>
        <v>-</v>
      </c>
      <c r="I175" s="7" t="str">
        <f>_xlfn.IFNA(VLOOKUP(B175,Päästökertoimet!$AA$28:$AG$130,4,FALSE),"-")</f>
        <v>-</v>
      </c>
      <c r="J175" s="7" t="str">
        <f>_xlfn.IFNA(VLOOKUP(B175,Päästökertoimet!$AA$28:$AG$130,5,FALSE),"-")</f>
        <v>-</v>
      </c>
      <c r="K175" s="23">
        <f t="shared" si="10"/>
        <v>0</v>
      </c>
    </row>
    <row r="176" spans="2:11" x14ac:dyDescent="0.25">
      <c r="B176" s="58"/>
      <c r="C176" s="27"/>
      <c r="D176" s="27"/>
      <c r="E176" s="27"/>
      <c r="F176" s="43"/>
      <c r="G176" s="7" t="str">
        <f>_xlfn.IFNA(VLOOKUP(B176,Päästökertoimet!$AA$28:$AG$130,2,FALSE),"-")</f>
        <v>-</v>
      </c>
      <c r="H176" s="7" t="str">
        <f>_xlfn.IFNA(VLOOKUP(B176,Päästökertoimet!$AA$28:$AG$130,3,FALSE),"-")</f>
        <v>-</v>
      </c>
      <c r="I176" s="7" t="str">
        <f>_xlfn.IFNA(VLOOKUP(B176,Päästökertoimet!$AA$28:$AG$130,4,FALSE),"-")</f>
        <v>-</v>
      </c>
      <c r="J176" s="7" t="str">
        <f>_xlfn.IFNA(VLOOKUP(B176,Päästökertoimet!$AA$28:$AG$130,5,FALSE),"-")</f>
        <v>-</v>
      </c>
      <c r="K176" s="23">
        <f t="shared" si="10"/>
        <v>0</v>
      </c>
    </row>
    <row r="177" spans="2:11" x14ac:dyDescent="0.25">
      <c r="B177" s="58"/>
      <c r="C177" s="27"/>
      <c r="D177" s="27"/>
      <c r="E177" s="27"/>
      <c r="F177" s="43"/>
      <c r="G177" s="7" t="str">
        <f>_xlfn.IFNA(VLOOKUP(B177,Päästökertoimet!$AA$28:$AG$130,2,FALSE),"-")</f>
        <v>-</v>
      </c>
      <c r="H177" s="7" t="str">
        <f>_xlfn.IFNA(VLOOKUP(B177,Päästökertoimet!$AA$28:$AG$130,3,FALSE),"-")</f>
        <v>-</v>
      </c>
      <c r="I177" s="7" t="str">
        <f>_xlfn.IFNA(VLOOKUP(B177,Päästökertoimet!$AA$28:$AG$130,4,FALSE),"-")</f>
        <v>-</v>
      </c>
      <c r="J177" s="7" t="str">
        <f>_xlfn.IFNA(VLOOKUP(B177,Päästökertoimet!$AA$28:$AG$130,5,FALSE),"-")</f>
        <v>-</v>
      </c>
      <c r="K177" s="23">
        <f t="shared" si="10"/>
        <v>0</v>
      </c>
    </row>
    <row r="178" spans="2:11" x14ac:dyDescent="0.25">
      <c r="B178" s="58"/>
      <c r="C178" s="27"/>
      <c r="D178" s="27"/>
      <c r="E178" s="27"/>
      <c r="F178" s="43"/>
      <c r="G178" s="7" t="str">
        <f>_xlfn.IFNA(VLOOKUP(B178,Päästökertoimet!$AA$28:$AG$130,2,FALSE),"-")</f>
        <v>-</v>
      </c>
      <c r="H178" s="7" t="str">
        <f>_xlfn.IFNA(VLOOKUP(B178,Päästökertoimet!$AA$28:$AG$130,3,FALSE),"-")</f>
        <v>-</v>
      </c>
      <c r="I178" s="7" t="str">
        <f>_xlfn.IFNA(VLOOKUP(B178,Päästökertoimet!$AA$28:$AG$130,4,FALSE),"-")</f>
        <v>-</v>
      </c>
      <c r="J178" s="7" t="str">
        <f>_xlfn.IFNA(VLOOKUP(B178,Päästökertoimet!$AA$28:$AG$130,5,FALSE),"-")</f>
        <v>-</v>
      </c>
      <c r="K178" s="23">
        <f t="shared" si="10"/>
        <v>0</v>
      </c>
    </row>
    <row r="179" spans="2:11" x14ac:dyDescent="0.25">
      <c r="B179" s="112"/>
      <c r="C179" s="113"/>
      <c r="D179" s="113"/>
      <c r="E179" s="113"/>
      <c r="F179" s="113"/>
      <c r="G179" s="113"/>
      <c r="H179" s="113"/>
      <c r="I179" s="113"/>
      <c r="J179" s="113"/>
      <c r="K179" s="23">
        <f t="shared" si="10"/>
        <v>0</v>
      </c>
    </row>
    <row r="180" spans="2:11" x14ac:dyDescent="0.25">
      <c r="B180" s="112"/>
      <c r="C180" s="113"/>
      <c r="D180" s="113"/>
      <c r="E180" s="113"/>
      <c r="F180" s="113"/>
      <c r="G180" s="113"/>
      <c r="H180" s="113"/>
      <c r="I180" s="113"/>
      <c r="J180" s="113"/>
      <c r="K180" s="23">
        <f t="shared" si="10"/>
        <v>0</v>
      </c>
    </row>
    <row r="181" spans="2:11" ht="15.75" thickBot="1" x14ac:dyDescent="0.3">
      <c r="B181" s="114"/>
      <c r="C181" s="115"/>
      <c r="D181" s="115"/>
      <c r="E181" s="115"/>
      <c r="F181" s="123"/>
      <c r="G181" s="115"/>
      <c r="H181" s="115"/>
      <c r="I181" s="115"/>
      <c r="J181" s="115"/>
      <c r="K181" s="24">
        <f t="shared" si="10"/>
        <v>0</v>
      </c>
    </row>
  </sheetData>
  <mergeCells count="14">
    <mergeCell ref="B168:K169"/>
    <mergeCell ref="B3:K4"/>
    <mergeCell ref="B2:K2"/>
    <mergeCell ref="B24:K25"/>
    <mergeCell ref="B40:K41"/>
    <mergeCell ref="B56:K57"/>
    <mergeCell ref="B72:K73"/>
    <mergeCell ref="B7:K8"/>
    <mergeCell ref="B6:K6"/>
    <mergeCell ref="B88:K89"/>
    <mergeCell ref="B104:K105"/>
    <mergeCell ref="B120:K121"/>
    <mergeCell ref="B136:K137"/>
    <mergeCell ref="B152:K153"/>
  </mergeCells>
  <phoneticPr fontId="1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showInputMessage="1" showErrorMessage="1" xr:uid="{00000000-0002-0000-0700-000000000000}">
          <x14:formula1>
            <xm:f>Päästökertoimet!$J$101:$J$145</xm:f>
          </x14:formula1>
          <xm:sqref>B10:B18</xm:sqref>
        </x14:dataValidation>
        <x14:dataValidation type="list" showInputMessage="1" showErrorMessage="1" xr:uid="{00000000-0002-0000-0700-000001000000}">
          <x14:formula1>
            <xm:f>Päästökertoimet!$J$148:$J$163</xm:f>
          </x14:formula1>
          <xm:sqref>B27:B34</xm:sqref>
        </x14:dataValidation>
        <x14:dataValidation type="list" showInputMessage="1" showErrorMessage="1" xr:uid="{00000000-0002-0000-0700-000002000000}">
          <x14:formula1>
            <xm:f>Päästökertoimet!$J$166:$J$265</xm:f>
          </x14:formula1>
          <xm:sqref>B43:B50</xm:sqref>
        </x14:dataValidation>
        <x14:dataValidation type="list" showInputMessage="1" showErrorMessage="1" xr:uid="{00000000-0002-0000-0700-000003000000}">
          <x14:formula1>
            <xm:f>Päästökertoimet!$T$110:$T$162</xm:f>
          </x14:formula1>
          <xm:sqref>B59:B66</xm:sqref>
        </x14:dataValidation>
        <x14:dataValidation type="list" showInputMessage="1" showErrorMessage="1" xr:uid="{00000000-0002-0000-0700-000004000000}">
          <x14:formula1>
            <xm:f>Päästökertoimet!$T$165:$T$196</xm:f>
          </x14:formula1>
          <xm:sqref>B75:B82</xm:sqref>
        </x14:dataValidation>
        <x14:dataValidation type="list" showInputMessage="1" showErrorMessage="1" xr:uid="{00000000-0002-0000-0700-000005000000}">
          <x14:formula1>
            <xm:f>Päästökertoimet!$T$200:$T$226</xm:f>
          </x14:formula1>
          <xm:sqref>B91:B98</xm:sqref>
        </x14:dataValidation>
        <x14:dataValidation type="list" showInputMessage="1" showErrorMessage="1" xr:uid="{00000000-0002-0000-0700-000006000000}">
          <x14:formula1>
            <xm:f>Päästökertoimet!$T$230:$T$237</xm:f>
          </x14:formula1>
          <xm:sqref>B107:B114</xm:sqref>
        </x14:dataValidation>
        <x14:dataValidation type="list" showInputMessage="1" showErrorMessage="1" xr:uid="{00000000-0002-0000-0700-000007000000}">
          <x14:formula1>
            <xm:f>Päästökertoimet!$T$241:$T$251</xm:f>
          </x14:formula1>
          <xm:sqref>B123:B130</xm:sqref>
        </x14:dataValidation>
        <x14:dataValidation type="list" showInputMessage="1" showErrorMessage="1" xr:uid="{00000000-0002-0000-0700-000008000000}">
          <x14:formula1>
            <xm:f>Päästökertoimet!$T$256:$T$293</xm:f>
          </x14:formula1>
          <xm:sqref>B139:B146</xm:sqref>
        </x14:dataValidation>
        <x14:dataValidation type="list" showInputMessage="1" showErrorMessage="1" xr:uid="{00000000-0002-0000-0700-000009000000}">
          <x14:formula1>
            <xm:f>Päästökertoimet!$AA$2:$AA$22</xm:f>
          </x14:formula1>
          <xm:sqref>B155:B162</xm:sqref>
        </x14:dataValidation>
        <x14:dataValidation type="list" showInputMessage="1" showErrorMessage="1" xr:uid="{00000000-0002-0000-0700-00000A000000}">
          <x14:formula1>
            <xm:f>Päästökertoimet!$AA$27:$AA$130</xm:f>
          </x14:formula1>
          <xm:sqref>B171:B178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B2:K49"/>
  <sheetViews>
    <sheetView workbookViewId="0"/>
  </sheetViews>
  <sheetFormatPr defaultColWidth="9.140625" defaultRowHeight="15" x14ac:dyDescent="0.25"/>
  <cols>
    <col min="1" max="1" width="9.140625" style="1"/>
    <col min="2" max="2" width="24" style="1" bestFit="1" customWidth="1"/>
    <col min="3" max="3" width="21.85546875" style="1" bestFit="1" customWidth="1"/>
    <col min="4" max="4" width="23.85546875" style="1" bestFit="1" customWidth="1"/>
    <col min="5" max="5" width="15.28515625" style="1" bestFit="1" customWidth="1"/>
    <col min="6" max="7" width="9.140625" style="1"/>
    <col min="8" max="8" width="17" style="1" bestFit="1" customWidth="1"/>
    <col min="9" max="9" width="21.85546875" style="1" bestFit="1" customWidth="1"/>
    <col min="10" max="10" width="26.140625" style="1" bestFit="1" customWidth="1"/>
    <col min="11" max="11" width="15.28515625" style="1" bestFit="1" customWidth="1"/>
    <col min="12" max="16384" width="9.140625" style="1"/>
  </cols>
  <sheetData>
    <row r="2" spans="2:11" ht="15.75" x14ac:dyDescent="0.25">
      <c r="B2" s="146" t="s">
        <v>306</v>
      </c>
      <c r="C2" s="146"/>
      <c r="D2" s="146"/>
      <c r="E2" s="146"/>
      <c r="F2" s="146"/>
      <c r="G2" s="146"/>
      <c r="H2" s="146"/>
      <c r="I2" s="146"/>
      <c r="J2" s="146"/>
      <c r="K2" s="146"/>
    </row>
    <row r="3" spans="2:11" ht="15" customHeight="1" x14ac:dyDescent="0.25">
      <c r="B3" s="135" t="s">
        <v>1170</v>
      </c>
      <c r="C3" s="135"/>
      <c r="D3" s="135"/>
      <c r="E3" s="135"/>
      <c r="F3" s="135"/>
      <c r="G3" s="135"/>
      <c r="H3" s="135"/>
      <c r="I3" s="135"/>
      <c r="J3" s="135"/>
      <c r="K3" s="135"/>
    </row>
    <row r="4" spans="2:11" ht="15" customHeight="1" x14ac:dyDescent="0.25">
      <c r="B4" s="135"/>
      <c r="C4" s="135"/>
      <c r="D4" s="135"/>
      <c r="E4" s="135"/>
      <c r="F4" s="135"/>
      <c r="G4" s="135"/>
      <c r="H4" s="135"/>
      <c r="I4" s="135"/>
      <c r="J4" s="135"/>
      <c r="K4" s="135"/>
    </row>
    <row r="5" spans="2:11" ht="15" customHeight="1" x14ac:dyDescent="0.25">
      <c r="B5" s="110"/>
      <c r="C5" s="110"/>
      <c r="D5" s="110"/>
      <c r="E5" s="110"/>
      <c r="F5" s="110"/>
      <c r="G5" s="110"/>
      <c r="H5" s="110"/>
      <c r="I5" s="110"/>
      <c r="J5" s="110"/>
      <c r="K5" s="110"/>
    </row>
    <row r="6" spans="2:11" ht="18.75" customHeight="1" x14ac:dyDescent="0.3">
      <c r="B6" s="147" t="s">
        <v>72</v>
      </c>
      <c r="C6" s="147"/>
      <c r="D6" s="147"/>
      <c r="E6" s="147"/>
      <c r="F6" s="147"/>
      <c r="G6" s="147"/>
      <c r="H6" s="147"/>
      <c r="I6" s="147"/>
      <c r="J6" s="147"/>
      <c r="K6" s="147"/>
    </row>
    <row r="7" spans="2:11" ht="19.5" thickBot="1" x14ac:dyDescent="0.35">
      <c r="B7" s="109"/>
      <c r="C7" s="109"/>
      <c r="D7" s="109"/>
      <c r="E7" s="109"/>
    </row>
    <row r="8" spans="2:11" ht="18.75" thickBot="1" x14ac:dyDescent="0.4">
      <c r="B8" s="11" t="s">
        <v>1168</v>
      </c>
      <c r="C8" s="11" t="s">
        <v>1169</v>
      </c>
      <c r="D8" s="11" t="s">
        <v>58</v>
      </c>
      <c r="E8" s="10" t="s">
        <v>60</v>
      </c>
      <c r="H8" s="10" t="s">
        <v>287</v>
      </c>
      <c r="I8" s="10" t="s">
        <v>284</v>
      </c>
      <c r="J8" s="10" t="s">
        <v>58</v>
      </c>
      <c r="K8" s="10" t="s">
        <v>60</v>
      </c>
    </row>
    <row r="9" spans="2:11" x14ac:dyDescent="0.25">
      <c r="B9" s="116"/>
      <c r="C9" s="113"/>
      <c r="D9" s="113"/>
      <c r="E9" s="23">
        <f>IF(C9&gt;0,D9*C9,0)</f>
        <v>0</v>
      </c>
      <c r="H9" s="14"/>
      <c r="I9" s="34"/>
      <c r="J9" s="6" t="str">
        <f>_xlfn.IFNA(VLOOKUP(H9,Päästökertoimet!$A$135:$B$143,2,FALSE),"-")</f>
        <v>-</v>
      </c>
      <c r="K9" s="23">
        <f t="shared" ref="K9:K14" si="0">IF(I9&gt;0,J9*I9,0)</f>
        <v>0</v>
      </c>
    </row>
    <row r="10" spans="2:11" x14ac:dyDescent="0.25">
      <c r="B10" s="116"/>
      <c r="C10" s="113"/>
      <c r="D10" s="113"/>
      <c r="E10" s="23">
        <f t="shared" ref="E10:E18" si="1">IF(C10&gt;0,D10*C10,0)</f>
        <v>0</v>
      </c>
      <c r="H10" s="14"/>
      <c r="I10" s="27"/>
      <c r="J10" s="6" t="str">
        <f>_xlfn.IFNA(VLOOKUP(H10,Päästökertoimet!$A$135:$B$143,2,FALSE),"-")</f>
        <v>-</v>
      </c>
      <c r="K10" s="23">
        <f t="shared" si="0"/>
        <v>0</v>
      </c>
    </row>
    <row r="11" spans="2:11" x14ac:dyDescent="0.25">
      <c r="B11" s="116"/>
      <c r="C11" s="113"/>
      <c r="D11" s="113"/>
      <c r="E11" s="23">
        <f t="shared" si="1"/>
        <v>0</v>
      </c>
      <c r="H11" s="14"/>
      <c r="I11" s="27"/>
      <c r="J11" s="6" t="str">
        <f>_xlfn.IFNA(VLOOKUP(H11,Päästökertoimet!$A$135:$B$143,2,FALSE),"-")</f>
        <v>-</v>
      </c>
      <c r="K11" s="23">
        <f t="shared" si="0"/>
        <v>0</v>
      </c>
    </row>
    <row r="12" spans="2:11" x14ac:dyDescent="0.25">
      <c r="B12" s="116"/>
      <c r="C12" s="113"/>
      <c r="D12" s="113"/>
      <c r="E12" s="23">
        <f t="shared" si="1"/>
        <v>0</v>
      </c>
      <c r="H12" s="14"/>
      <c r="I12" s="27"/>
      <c r="J12" s="6" t="str">
        <f>_xlfn.IFNA(VLOOKUP(H12,Päästökertoimet!$A$135:$B$143,2,FALSE),"-")</f>
        <v>-</v>
      </c>
      <c r="K12" s="23">
        <f t="shared" si="0"/>
        <v>0</v>
      </c>
    </row>
    <row r="13" spans="2:11" x14ac:dyDescent="0.25">
      <c r="B13" s="116"/>
      <c r="C13" s="113"/>
      <c r="D13" s="113"/>
      <c r="E13" s="23">
        <f t="shared" si="1"/>
        <v>0</v>
      </c>
      <c r="H13" s="14"/>
      <c r="I13" s="27"/>
      <c r="J13" s="6" t="str">
        <f>_xlfn.IFNA(VLOOKUP(H13,Päästökertoimet!$A$135:$B$143,2,FALSE),"-")</f>
        <v>-</v>
      </c>
      <c r="K13" s="23">
        <f t="shared" si="0"/>
        <v>0</v>
      </c>
    </row>
    <row r="14" spans="2:11" ht="15.75" thickBot="1" x14ac:dyDescent="0.3">
      <c r="B14" s="116"/>
      <c r="C14" s="113"/>
      <c r="D14" s="113"/>
      <c r="E14" s="23">
        <f t="shared" si="1"/>
        <v>0</v>
      </c>
      <c r="H14" s="91"/>
      <c r="I14" s="30"/>
      <c r="J14" s="21" t="str">
        <f>_xlfn.IFNA(VLOOKUP(H14,Päästökertoimet!$A$135:$B$143,2,FALSE),"-")</f>
        <v>-</v>
      </c>
      <c r="K14" s="24">
        <f t="shared" si="0"/>
        <v>0</v>
      </c>
    </row>
    <row r="15" spans="2:11" x14ac:dyDescent="0.25">
      <c r="B15" s="116"/>
      <c r="C15" s="113"/>
      <c r="D15" s="113"/>
      <c r="E15" s="23">
        <f t="shared" si="1"/>
        <v>0</v>
      </c>
    </row>
    <row r="16" spans="2:11" ht="15.75" thickBot="1" x14ac:dyDescent="0.3">
      <c r="B16" s="116"/>
      <c r="C16" s="113"/>
      <c r="D16" s="113"/>
      <c r="E16" s="23">
        <f t="shared" si="1"/>
        <v>0</v>
      </c>
    </row>
    <row r="17" spans="2:11" ht="18.75" thickBot="1" x14ac:dyDescent="0.4">
      <c r="B17" s="116"/>
      <c r="C17" s="113"/>
      <c r="D17" s="113"/>
      <c r="E17" s="23">
        <f t="shared" si="1"/>
        <v>0</v>
      </c>
      <c r="H17" s="10" t="s">
        <v>534</v>
      </c>
      <c r="I17" s="10" t="s">
        <v>284</v>
      </c>
      <c r="J17" s="10" t="s">
        <v>58</v>
      </c>
      <c r="K17" s="10" t="s">
        <v>60</v>
      </c>
    </row>
    <row r="18" spans="2:11" ht="15.75" thickBot="1" x14ac:dyDescent="0.3">
      <c r="B18" s="117"/>
      <c r="C18" s="115"/>
      <c r="D18" s="115"/>
      <c r="E18" s="24">
        <f t="shared" si="1"/>
        <v>0</v>
      </c>
      <c r="H18" s="14"/>
      <c r="I18" s="34"/>
      <c r="J18" s="92" t="str">
        <f>_xlfn.IFNA(VLOOKUP(H18,Päästökertoimet!$A$144:$B$152,2,FALSE),"-")</f>
        <v>-</v>
      </c>
      <c r="K18" s="23">
        <f t="shared" ref="K18:K23" si="2">IF(I18&gt;0,J18*I18,0)</f>
        <v>0</v>
      </c>
    </row>
    <row r="19" spans="2:11" ht="18.75" x14ac:dyDescent="0.3">
      <c r="B19" s="109"/>
      <c r="C19" s="109"/>
      <c r="D19" s="109"/>
      <c r="E19" s="109"/>
      <c r="H19" s="14"/>
      <c r="I19" s="27"/>
      <c r="J19" s="6" t="str">
        <f>_xlfn.IFNA(VLOOKUP(H19,Päästökertoimet!$A$144:$B$152,2,FALSE),"-")</f>
        <v>-</v>
      </c>
      <c r="K19" s="23">
        <f t="shared" si="2"/>
        <v>0</v>
      </c>
    </row>
    <row r="20" spans="2:11" ht="19.5" thickBot="1" x14ac:dyDescent="0.35">
      <c r="B20" s="109"/>
      <c r="C20" s="109"/>
      <c r="D20" s="109"/>
      <c r="E20" s="109"/>
      <c r="H20" s="14"/>
      <c r="I20" s="27"/>
      <c r="J20" s="6" t="str">
        <f>_xlfn.IFNA(VLOOKUP(H20,Päästökertoimet!$A$144:$B$152,2,FALSE),"-")</f>
        <v>-</v>
      </c>
      <c r="K20" s="23">
        <f t="shared" si="2"/>
        <v>0</v>
      </c>
    </row>
    <row r="21" spans="2:11" ht="18.75" thickBot="1" x14ac:dyDescent="0.4">
      <c r="B21" s="10" t="s">
        <v>283</v>
      </c>
      <c r="C21" s="10" t="s">
        <v>284</v>
      </c>
      <c r="D21" s="10" t="s">
        <v>58</v>
      </c>
      <c r="E21" s="10" t="s">
        <v>60</v>
      </c>
      <c r="H21" s="14"/>
      <c r="I21" s="27"/>
      <c r="J21" s="6" t="str">
        <f>_xlfn.IFNA(VLOOKUP(H21,Päästökertoimet!$A$144:$B$152,2,FALSE),"-")</f>
        <v>-</v>
      </c>
      <c r="K21" s="23">
        <f t="shared" si="2"/>
        <v>0</v>
      </c>
    </row>
    <row r="22" spans="2:11" x14ac:dyDescent="0.25">
      <c r="B22" s="14"/>
      <c r="C22" s="34"/>
      <c r="D22" s="7" t="str">
        <f>_xlfn.IFNA(VLOOKUP(B22,Päästökertoimet!$A$96:$B$104,2,FALSE),"-")</f>
        <v>-</v>
      </c>
      <c r="E22" s="23">
        <f>IF(C22&gt;0,D22*C22,0)</f>
        <v>0</v>
      </c>
      <c r="H22" s="14"/>
      <c r="I22" s="27"/>
      <c r="J22" s="6" t="str">
        <f>_xlfn.IFNA(VLOOKUP(H22,Päästökertoimet!$A$144:$B$152,2,FALSE),"-")</f>
        <v>-</v>
      </c>
      <c r="K22" s="23">
        <f t="shared" si="2"/>
        <v>0</v>
      </c>
    </row>
    <row r="23" spans="2:11" ht="15.75" thickBot="1" x14ac:dyDescent="0.3">
      <c r="B23" s="14"/>
      <c r="C23" s="27"/>
      <c r="D23" s="7" t="str">
        <f>_xlfn.IFNA(VLOOKUP(B23,Päästökertoimet!$A$96:$B$104,2,FALSE),"-")</f>
        <v>-</v>
      </c>
      <c r="E23" s="23">
        <f t="shared" ref="E23:E27" si="3">IF(C23&gt;0,D23*C23,0)</f>
        <v>0</v>
      </c>
      <c r="H23" s="91"/>
      <c r="I23" s="30"/>
      <c r="J23" s="21" t="str">
        <f>_xlfn.IFNA(VLOOKUP(H23,Päästökertoimet!$A$144:$B$152,2,FALSE),"-")</f>
        <v>-</v>
      </c>
      <c r="K23" s="24">
        <f t="shared" si="2"/>
        <v>0</v>
      </c>
    </row>
    <row r="24" spans="2:11" x14ac:dyDescent="0.25">
      <c r="B24" s="14"/>
      <c r="C24" s="27"/>
      <c r="D24" s="7" t="str">
        <f>_xlfn.IFNA(VLOOKUP(B24,Päästökertoimet!$A$96:$B$104,2,FALSE),"-")</f>
        <v>-</v>
      </c>
      <c r="E24" s="23">
        <f t="shared" si="3"/>
        <v>0</v>
      </c>
    </row>
    <row r="25" spans="2:11" ht="15.75" thickBot="1" x14ac:dyDescent="0.3">
      <c r="B25" s="14"/>
      <c r="C25" s="27"/>
      <c r="D25" s="7" t="str">
        <f>_xlfn.IFNA(VLOOKUP(B25,Päästökertoimet!$A$96:$B$104,2,FALSE),"-")</f>
        <v>-</v>
      </c>
      <c r="E25" s="23">
        <f t="shared" si="3"/>
        <v>0</v>
      </c>
    </row>
    <row r="26" spans="2:11" ht="18.75" thickBot="1" x14ac:dyDescent="0.4">
      <c r="B26" s="14"/>
      <c r="C26" s="27"/>
      <c r="D26" s="7" t="str">
        <f>_xlfn.IFNA(VLOOKUP(B26,Päästökertoimet!$A$96:$B$104,2,FALSE),"-")</f>
        <v>-</v>
      </c>
      <c r="E26" s="23">
        <f t="shared" si="3"/>
        <v>0</v>
      </c>
      <c r="H26" s="10" t="s">
        <v>533</v>
      </c>
      <c r="I26" s="10" t="s">
        <v>536</v>
      </c>
      <c r="J26" s="10" t="s">
        <v>542</v>
      </c>
      <c r="K26" s="10" t="s">
        <v>60</v>
      </c>
    </row>
    <row r="27" spans="2:11" ht="15.75" thickBot="1" x14ac:dyDescent="0.3">
      <c r="B27" s="91"/>
      <c r="C27" s="30"/>
      <c r="D27" s="8" t="str">
        <f>_xlfn.IFNA(VLOOKUP(B27,Päästökertoimet!$A$96:$B$104,2,FALSE),"-")</f>
        <v>-</v>
      </c>
      <c r="E27" s="24">
        <f t="shared" si="3"/>
        <v>0</v>
      </c>
      <c r="H27" s="14"/>
      <c r="I27" s="34"/>
      <c r="J27" s="92" t="str">
        <f>_xlfn.IFNA(VLOOKUP(H27,Päästökertoimet!$A$154:$B$154,2,FALSE),"-")</f>
        <v>-</v>
      </c>
      <c r="K27" s="23">
        <f t="shared" ref="K27:K32" si="4">IF(I27&gt;0,J27*I27,0)</f>
        <v>0</v>
      </c>
    </row>
    <row r="28" spans="2:11" x14ac:dyDescent="0.25">
      <c r="B28" s="2"/>
      <c r="C28" s="2"/>
      <c r="D28" s="2"/>
      <c r="E28" s="2"/>
      <c r="H28" s="14"/>
      <c r="I28" s="27"/>
      <c r="J28" s="92" t="str">
        <f>_xlfn.IFNA(VLOOKUP(H28,Päästökertoimet!$A$154:$B$154,2,FALSE),"-")</f>
        <v>-</v>
      </c>
      <c r="K28" s="23">
        <f t="shared" si="4"/>
        <v>0</v>
      </c>
    </row>
    <row r="29" spans="2:11" ht="15.75" thickBot="1" x14ac:dyDescent="0.3">
      <c r="B29" s="2"/>
      <c r="C29" s="2"/>
      <c r="D29" s="2"/>
      <c r="E29" s="2"/>
      <c r="H29" s="14"/>
      <c r="I29" s="27"/>
      <c r="J29" s="92" t="str">
        <f>_xlfn.IFNA(VLOOKUP(H29,Päästökertoimet!$A$154:$B$154,2,FALSE),"-")</f>
        <v>-</v>
      </c>
      <c r="K29" s="23">
        <f t="shared" si="4"/>
        <v>0</v>
      </c>
    </row>
    <row r="30" spans="2:11" ht="18.75" thickBot="1" x14ac:dyDescent="0.4">
      <c r="B30" s="10" t="s">
        <v>285</v>
      </c>
      <c r="C30" s="10" t="s">
        <v>284</v>
      </c>
      <c r="D30" s="10" t="s">
        <v>58</v>
      </c>
      <c r="E30" s="10" t="s">
        <v>60</v>
      </c>
      <c r="H30" s="14"/>
      <c r="I30" s="27"/>
      <c r="J30" s="92" t="str">
        <f>_xlfn.IFNA(VLOOKUP(H30,Päästökertoimet!$A$154:$B$154,2,FALSE),"-")</f>
        <v>-</v>
      </c>
      <c r="K30" s="23">
        <f t="shared" si="4"/>
        <v>0</v>
      </c>
    </row>
    <row r="31" spans="2:11" x14ac:dyDescent="0.25">
      <c r="B31" s="14"/>
      <c r="C31" s="34"/>
      <c r="D31" s="6" t="str">
        <f>_xlfn.IFNA(VLOOKUP(B31,Päästökertoimet!$A$109:$B$117,2,FALSE),"-")</f>
        <v>-</v>
      </c>
      <c r="E31" s="23">
        <f t="shared" ref="E31:E36" si="5">IF(C31&gt;0,D31*C31,0)</f>
        <v>0</v>
      </c>
      <c r="H31" s="14"/>
      <c r="I31" s="27"/>
      <c r="J31" s="92" t="str">
        <f>_xlfn.IFNA(VLOOKUP(H31,Päästökertoimet!$A$154:$B$154,2,FALSE),"-")</f>
        <v>-</v>
      </c>
      <c r="K31" s="23">
        <f t="shared" si="4"/>
        <v>0</v>
      </c>
    </row>
    <row r="32" spans="2:11" ht="15.75" thickBot="1" x14ac:dyDescent="0.3">
      <c r="B32" s="14"/>
      <c r="C32" s="27"/>
      <c r="D32" s="6" t="str">
        <f>_xlfn.IFNA(VLOOKUP(B32,Päästökertoimet!$A$109:$B$117,2,FALSE),"-")</f>
        <v>-</v>
      </c>
      <c r="E32" s="23">
        <f t="shared" si="5"/>
        <v>0</v>
      </c>
      <c r="H32" s="91"/>
      <c r="I32" s="30"/>
      <c r="J32" s="93" t="str">
        <f>_xlfn.IFNA(VLOOKUP(H32,Päästökertoimet!$A$154:$B$154,2,FALSE),"-")</f>
        <v>-</v>
      </c>
      <c r="K32" s="24">
        <f t="shared" si="4"/>
        <v>0</v>
      </c>
    </row>
    <row r="33" spans="2:5" x14ac:dyDescent="0.25">
      <c r="B33" s="14"/>
      <c r="C33" s="27"/>
      <c r="D33" s="6" t="str">
        <f>_xlfn.IFNA(VLOOKUP(B33,Päästökertoimet!$A$109:$B$117,2,FALSE),"-")</f>
        <v>-</v>
      </c>
      <c r="E33" s="23">
        <f t="shared" si="5"/>
        <v>0</v>
      </c>
    </row>
    <row r="34" spans="2:5" x14ac:dyDescent="0.25">
      <c r="B34" s="14"/>
      <c r="C34" s="27"/>
      <c r="D34" s="6" t="str">
        <f>_xlfn.IFNA(VLOOKUP(B34,Päästökertoimet!$A$109:$B$117,2,FALSE),"-")</f>
        <v>-</v>
      </c>
      <c r="E34" s="23">
        <f t="shared" si="5"/>
        <v>0</v>
      </c>
    </row>
    <row r="35" spans="2:5" x14ac:dyDescent="0.25">
      <c r="B35" s="14"/>
      <c r="C35" s="27"/>
      <c r="D35" s="6" t="str">
        <f>_xlfn.IFNA(VLOOKUP(B35,Päästökertoimet!$A$109:$B$117,2,FALSE),"-")</f>
        <v>-</v>
      </c>
      <c r="E35" s="23">
        <f t="shared" si="5"/>
        <v>0</v>
      </c>
    </row>
    <row r="36" spans="2:5" ht="15.75" thickBot="1" x14ac:dyDescent="0.3">
      <c r="B36" s="91"/>
      <c r="C36" s="30"/>
      <c r="D36" s="21" t="str">
        <f>_xlfn.IFNA(VLOOKUP(B36,Päästökertoimet!$A$109:$B$117,2,FALSE),"-")</f>
        <v>-</v>
      </c>
      <c r="E36" s="24">
        <f t="shared" si="5"/>
        <v>0</v>
      </c>
    </row>
    <row r="37" spans="2:5" x14ac:dyDescent="0.25">
      <c r="B37" s="2"/>
      <c r="C37" s="2"/>
      <c r="D37" s="2"/>
      <c r="E37" s="2"/>
    </row>
    <row r="38" spans="2:5" ht="15.75" thickBot="1" x14ac:dyDescent="0.3">
      <c r="B38" s="2"/>
      <c r="C38" s="2"/>
      <c r="D38" s="2"/>
      <c r="E38" s="2"/>
    </row>
    <row r="39" spans="2:5" ht="18.75" thickBot="1" x14ac:dyDescent="0.4">
      <c r="B39" s="10" t="s">
        <v>286</v>
      </c>
      <c r="C39" s="10" t="s">
        <v>284</v>
      </c>
      <c r="D39" s="10" t="s">
        <v>58</v>
      </c>
      <c r="E39" s="10" t="s">
        <v>60</v>
      </c>
    </row>
    <row r="40" spans="2:5" x14ac:dyDescent="0.25">
      <c r="B40" s="14"/>
      <c r="C40" s="34"/>
      <c r="D40" s="6" t="str">
        <f>_xlfn.IFNA(VLOOKUP(B40,Päästökertoimet!$A$122:$B$130,2,FALSE),"-")</f>
        <v>-</v>
      </c>
      <c r="E40" s="23">
        <f t="shared" ref="E40:E45" si="6">IF(C40&gt;0,D40*C40,0)</f>
        <v>0</v>
      </c>
    </row>
    <row r="41" spans="2:5" x14ac:dyDescent="0.25">
      <c r="B41" s="14"/>
      <c r="C41" s="27"/>
      <c r="D41" s="6" t="str">
        <f>_xlfn.IFNA(VLOOKUP(B41,Päästökertoimet!$A$122:$B$130,2,FALSE),"-")</f>
        <v>-</v>
      </c>
      <c r="E41" s="23">
        <f t="shared" si="6"/>
        <v>0</v>
      </c>
    </row>
    <row r="42" spans="2:5" x14ac:dyDescent="0.25">
      <c r="B42" s="14"/>
      <c r="C42" s="27"/>
      <c r="D42" s="6" t="str">
        <f>_xlfn.IFNA(VLOOKUP(B42,Päästökertoimet!$A$122:$B$130,2,FALSE),"-")</f>
        <v>-</v>
      </c>
      <c r="E42" s="23">
        <f t="shared" si="6"/>
        <v>0</v>
      </c>
    </row>
    <row r="43" spans="2:5" x14ac:dyDescent="0.25">
      <c r="B43" s="14"/>
      <c r="C43" s="27"/>
      <c r="D43" s="6" t="str">
        <f>_xlfn.IFNA(VLOOKUP(B43,Päästökertoimet!$A$122:$B$130,2,FALSE),"-")</f>
        <v>-</v>
      </c>
      <c r="E43" s="23">
        <f t="shared" si="6"/>
        <v>0</v>
      </c>
    </row>
    <row r="44" spans="2:5" x14ac:dyDescent="0.25">
      <c r="B44" s="14"/>
      <c r="C44" s="27"/>
      <c r="D44" s="6" t="str">
        <f>_xlfn.IFNA(VLOOKUP(B44,Päästökertoimet!$A$122:$B$130,2,FALSE),"-")</f>
        <v>-</v>
      </c>
      <c r="E44" s="23">
        <f t="shared" si="6"/>
        <v>0</v>
      </c>
    </row>
    <row r="45" spans="2:5" ht="15.75" thickBot="1" x14ac:dyDescent="0.3">
      <c r="B45" s="91"/>
      <c r="C45" s="30"/>
      <c r="D45" s="21" t="str">
        <f>_xlfn.IFNA(VLOOKUP(B45,Päästökertoimet!$A$122:$B$130,2,FALSE),"-")</f>
        <v>-</v>
      </c>
      <c r="E45" s="24">
        <f t="shared" si="6"/>
        <v>0</v>
      </c>
    </row>
    <row r="48" spans="2:5" x14ac:dyDescent="0.25">
      <c r="B48" s="2"/>
      <c r="C48" s="2"/>
      <c r="D48" s="2"/>
      <c r="E48" s="2"/>
    </row>
    <row r="49" spans="2:5" x14ac:dyDescent="0.25">
      <c r="B49" s="2"/>
      <c r="C49" s="2"/>
      <c r="D49" s="2"/>
      <c r="E49" s="2"/>
    </row>
  </sheetData>
  <mergeCells count="3">
    <mergeCell ref="B2:K2"/>
    <mergeCell ref="B6:K6"/>
    <mergeCell ref="B3:K4"/>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showInputMessage="1" showErrorMessage="1" xr:uid="{00000000-0002-0000-0800-000000000000}">
          <x14:formula1>
            <xm:f>Päästökertoimet!$A$134:$A$143</xm:f>
          </x14:formula1>
          <xm:sqref>H9:H14</xm:sqref>
        </x14:dataValidation>
        <x14:dataValidation type="list" showInputMessage="1" showErrorMessage="1" xr:uid="{00000000-0002-0000-0800-000001000000}">
          <x14:formula1>
            <xm:f>Päästökertoimet!$A$121:$A$130</xm:f>
          </x14:formula1>
          <xm:sqref>B40:B45</xm:sqref>
        </x14:dataValidation>
        <x14:dataValidation type="list" showInputMessage="1" showErrorMessage="1" xr:uid="{00000000-0002-0000-0800-000002000000}">
          <x14:formula1>
            <xm:f>Päästökertoimet!$A$95:$A$104</xm:f>
          </x14:formula1>
          <xm:sqref>B22:B27</xm:sqref>
        </x14:dataValidation>
        <x14:dataValidation type="list" showInputMessage="1" showErrorMessage="1" xr:uid="{00000000-0002-0000-0800-000003000000}">
          <x14:formula1>
            <xm:f>Päästökertoimet!$A$108:$A$117</xm:f>
          </x14:formula1>
          <xm:sqref>B31:B36</xm:sqref>
        </x14:dataValidation>
        <x14:dataValidation type="list" showInputMessage="1" showErrorMessage="1" xr:uid="{00000000-0002-0000-0800-000004000000}">
          <x14:formula1>
            <xm:f>Päästökertoimet!$A$147:$A$151</xm:f>
          </x14:formula1>
          <xm:sqref>H18:H23</xm:sqref>
        </x14:dataValidation>
        <x14:dataValidation type="list" showInputMessage="1" showErrorMessage="1" xr:uid="{00000000-0002-0000-0800-000005000000}">
          <x14:formula1>
            <xm:f>Päästökertoimet!$A$153:$A$154</xm:f>
          </x14:formula1>
          <xm:sqref>H27:H32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B2:Q97"/>
  <sheetViews>
    <sheetView zoomScaleNormal="100" workbookViewId="0"/>
  </sheetViews>
  <sheetFormatPr defaultColWidth="8.85546875" defaultRowHeight="15" x14ac:dyDescent="0.25"/>
  <cols>
    <col min="1" max="1" width="8.85546875" style="1"/>
    <col min="2" max="2" width="54.140625" style="2" bestFit="1" customWidth="1"/>
    <col min="3" max="3" width="18.7109375" style="1" bestFit="1" customWidth="1"/>
    <col min="4" max="4" width="27.85546875" style="1" bestFit="1" customWidth="1"/>
    <col min="5" max="5" width="27.42578125" style="1" bestFit="1" customWidth="1"/>
    <col min="6" max="6" width="14.7109375" style="1" bestFit="1" customWidth="1"/>
    <col min="7" max="10" width="8.85546875" style="1"/>
    <col min="11" max="11" width="54.140625" style="1" bestFit="1" customWidth="1"/>
    <col min="12" max="12" width="17.7109375" style="1" bestFit="1" customWidth="1"/>
    <col min="13" max="13" width="25" style="1" bestFit="1" customWidth="1"/>
    <col min="14" max="14" width="24.5703125" style="1" bestFit="1" customWidth="1"/>
    <col min="15" max="15" width="15.28515625" style="1" bestFit="1" customWidth="1"/>
    <col min="16" max="16384" width="8.85546875" style="1"/>
  </cols>
  <sheetData>
    <row r="2" spans="2:17" ht="15.75" x14ac:dyDescent="0.25">
      <c r="B2" s="136" t="s">
        <v>306</v>
      </c>
      <c r="C2" s="136"/>
      <c r="D2" s="136"/>
      <c r="E2" s="136"/>
      <c r="F2" s="136"/>
      <c r="H2" s="44"/>
      <c r="K2" s="136" t="s">
        <v>306</v>
      </c>
      <c r="L2" s="136"/>
      <c r="M2" s="136"/>
      <c r="N2" s="136"/>
      <c r="O2" s="136"/>
      <c r="Q2" s="9"/>
    </row>
    <row r="3" spans="2:17" x14ac:dyDescent="0.25">
      <c r="B3" s="135" t="s">
        <v>1142</v>
      </c>
      <c r="C3" s="135"/>
      <c r="D3" s="135"/>
      <c r="E3" s="135"/>
      <c r="F3" s="135"/>
      <c r="H3" s="44"/>
      <c r="K3" s="135" t="s">
        <v>477</v>
      </c>
      <c r="L3" s="135"/>
      <c r="M3" s="135"/>
      <c r="N3" s="135"/>
      <c r="O3" s="135"/>
      <c r="Q3" s="9"/>
    </row>
    <row r="4" spans="2:17" x14ac:dyDescent="0.25">
      <c r="B4" s="135"/>
      <c r="C4" s="135"/>
      <c r="D4" s="135"/>
      <c r="E4" s="135"/>
      <c r="F4" s="135"/>
      <c r="H4" s="44"/>
      <c r="K4" s="135"/>
      <c r="L4" s="135"/>
      <c r="M4" s="135"/>
      <c r="N4" s="135"/>
      <c r="O4" s="135"/>
      <c r="Q4" s="9"/>
    </row>
    <row r="5" spans="2:17" x14ac:dyDescent="0.25">
      <c r="C5" s="2"/>
      <c r="D5" s="2"/>
      <c r="E5" s="2"/>
      <c r="H5" s="44"/>
      <c r="K5" s="2"/>
      <c r="L5" s="2"/>
      <c r="M5" s="2"/>
      <c r="N5" s="2"/>
      <c r="Q5" s="9"/>
    </row>
    <row r="6" spans="2:17" ht="18.75" x14ac:dyDescent="0.3">
      <c r="B6" s="140" t="s">
        <v>74</v>
      </c>
      <c r="C6" s="140"/>
      <c r="D6" s="140"/>
      <c r="E6" s="140"/>
      <c r="F6" s="140"/>
      <c r="H6" s="44"/>
      <c r="K6" s="140" t="s">
        <v>79</v>
      </c>
      <c r="L6" s="140"/>
      <c r="M6" s="140"/>
      <c r="N6" s="140"/>
      <c r="O6" s="140"/>
      <c r="Q6" s="9"/>
    </row>
    <row r="7" spans="2:17" ht="18.75" x14ac:dyDescent="0.3">
      <c r="B7" s="64"/>
      <c r="C7" s="64"/>
      <c r="D7" s="64"/>
      <c r="E7" s="64"/>
      <c r="F7" s="64"/>
      <c r="H7" s="44"/>
      <c r="K7" s="64"/>
      <c r="L7" s="64"/>
      <c r="M7" s="64"/>
      <c r="N7" s="64"/>
      <c r="O7" s="64"/>
      <c r="Q7" s="9"/>
    </row>
    <row r="8" spans="2:17" ht="16.5" thickBot="1" x14ac:dyDescent="0.3">
      <c r="B8" s="142" t="s">
        <v>473</v>
      </c>
      <c r="C8" s="142"/>
      <c r="D8" s="142"/>
      <c r="E8" s="142"/>
      <c r="F8" s="142"/>
      <c r="H8" s="44"/>
      <c r="K8" s="142" t="s">
        <v>473</v>
      </c>
      <c r="L8" s="142"/>
      <c r="M8" s="142"/>
      <c r="N8" s="142"/>
      <c r="O8" s="142"/>
      <c r="Q8" s="9"/>
    </row>
    <row r="9" spans="2:17" ht="18.75" thickBot="1" x14ac:dyDescent="0.4">
      <c r="B9" s="10" t="s">
        <v>474</v>
      </c>
      <c r="C9" s="10" t="s">
        <v>326</v>
      </c>
      <c r="D9" s="10" t="s">
        <v>472</v>
      </c>
      <c r="E9" s="10" t="s">
        <v>327</v>
      </c>
      <c r="F9" s="10" t="s">
        <v>60</v>
      </c>
      <c r="H9" s="44"/>
      <c r="K9" s="10" t="s">
        <v>474</v>
      </c>
      <c r="L9" s="10" t="s">
        <v>326</v>
      </c>
      <c r="M9" s="10" t="s">
        <v>472</v>
      </c>
      <c r="N9" s="10" t="s">
        <v>327</v>
      </c>
      <c r="O9" s="10" t="s">
        <v>60</v>
      </c>
      <c r="Q9" s="9"/>
    </row>
    <row r="10" spans="2:17" x14ac:dyDescent="0.25">
      <c r="B10" s="14"/>
      <c r="C10" s="56"/>
      <c r="D10" s="42"/>
      <c r="E10" s="60" t="str">
        <f>_xlfn.IFNA(VLOOKUP(B10,Päästökertoimet!$T$2:$U$91,2,FALSE),"-")</f>
        <v>-</v>
      </c>
      <c r="F10" s="23">
        <f>IF(C10&gt;0,E10*C10*D10,0)</f>
        <v>0</v>
      </c>
      <c r="H10" s="44"/>
      <c r="K10" s="14"/>
      <c r="L10" s="56"/>
      <c r="M10" s="42"/>
      <c r="N10" s="60" t="str">
        <f>_xlfn.IFNA(VLOOKUP(K10,Päästökertoimet!$T$2:$U$91,2,FALSE),"-")</f>
        <v>-</v>
      </c>
      <c r="O10" s="23">
        <f>IF(L10&gt;0,N10*L10*M10,0)</f>
        <v>0</v>
      </c>
      <c r="Q10" s="9"/>
    </row>
    <row r="11" spans="2:17" x14ac:dyDescent="0.25">
      <c r="B11" s="16"/>
      <c r="C11" s="57"/>
      <c r="D11" s="43"/>
      <c r="E11" s="59" t="str">
        <f>_xlfn.IFNA(VLOOKUP(B11,Päästökertoimet!$T$2:$U$91,2,FALSE),"-")</f>
        <v>-</v>
      </c>
      <c r="F11" s="23">
        <f>IF(C11&gt;0,E11*C11*D11,0)</f>
        <v>0</v>
      </c>
      <c r="H11" s="44"/>
      <c r="K11" s="16"/>
      <c r="L11" s="57"/>
      <c r="M11" s="43"/>
      <c r="N11" s="59" t="str">
        <f>_xlfn.IFNA(VLOOKUP(K11,Päästökertoimet!$T$2:$U$91,2,FALSE),"-")</f>
        <v>-</v>
      </c>
      <c r="O11" s="23">
        <f>IF(L11&gt;0,N11*L11*M11,0)</f>
        <v>0</v>
      </c>
      <c r="Q11" s="9"/>
    </row>
    <row r="12" spans="2:17" x14ac:dyDescent="0.25">
      <c r="B12" s="16"/>
      <c r="C12" s="57"/>
      <c r="D12" s="43"/>
      <c r="E12" s="59" t="str">
        <f>_xlfn.IFNA(VLOOKUP(B12,Päästökertoimet!$T$2:$U$91,2,FALSE),"-")</f>
        <v>-</v>
      </c>
      <c r="F12" s="23">
        <f t="shared" ref="F12:F19" si="0">IF(C12&gt;0,E12*C12*D12,0)</f>
        <v>0</v>
      </c>
      <c r="H12" s="44"/>
      <c r="K12" s="16"/>
      <c r="L12" s="57"/>
      <c r="M12" s="43"/>
      <c r="N12" s="59" t="str">
        <f>_xlfn.IFNA(VLOOKUP(K12,Päästökertoimet!$T$2:$U$91,2,FALSE),"-")</f>
        <v>-</v>
      </c>
      <c r="O12" s="23">
        <f t="shared" ref="O12:O19" si="1">IF(L12&gt;0,N12*L12*M12,0)</f>
        <v>0</v>
      </c>
      <c r="Q12" s="9"/>
    </row>
    <row r="13" spans="2:17" x14ac:dyDescent="0.25">
      <c r="B13" s="16"/>
      <c r="C13" s="57"/>
      <c r="D13" s="43"/>
      <c r="E13" s="59" t="str">
        <f>_xlfn.IFNA(VLOOKUP(B13,Päästökertoimet!$T$2:$U$91,2,FALSE),"-")</f>
        <v>-</v>
      </c>
      <c r="F13" s="23">
        <f t="shared" si="0"/>
        <v>0</v>
      </c>
      <c r="H13" s="44"/>
      <c r="K13" s="16"/>
      <c r="L13" s="57"/>
      <c r="M13" s="43"/>
      <c r="N13" s="59" t="str">
        <f>_xlfn.IFNA(VLOOKUP(K13,Päästökertoimet!$T$2:$U$91,2,FALSE),"-")</f>
        <v>-</v>
      </c>
      <c r="O13" s="23">
        <f t="shared" si="1"/>
        <v>0</v>
      </c>
      <c r="Q13" s="9"/>
    </row>
    <row r="14" spans="2:17" x14ac:dyDescent="0.25">
      <c r="B14" s="16"/>
      <c r="C14" s="57"/>
      <c r="D14" s="43"/>
      <c r="E14" s="59" t="str">
        <f>_xlfn.IFNA(VLOOKUP(B14,Päästökertoimet!$T$2:$U$91,2,FALSE),"-")</f>
        <v>-</v>
      </c>
      <c r="F14" s="23">
        <f t="shared" si="0"/>
        <v>0</v>
      </c>
      <c r="H14" s="44"/>
      <c r="K14" s="16"/>
      <c r="L14" s="57"/>
      <c r="M14" s="43"/>
      <c r="N14" s="59" t="str">
        <f>_xlfn.IFNA(VLOOKUP(K14,Päästökertoimet!$T$2:$U$91,2,FALSE),"-")</f>
        <v>-</v>
      </c>
      <c r="O14" s="23">
        <f t="shared" si="1"/>
        <v>0</v>
      </c>
      <c r="Q14" s="9"/>
    </row>
    <row r="15" spans="2:17" x14ac:dyDescent="0.25">
      <c r="B15" s="16"/>
      <c r="C15" s="57"/>
      <c r="D15" s="43"/>
      <c r="E15" s="59" t="str">
        <f>_xlfn.IFNA(VLOOKUP(B15,Päästökertoimet!$T$2:$U$91,2,FALSE),"-")</f>
        <v>-</v>
      </c>
      <c r="F15" s="23">
        <f t="shared" si="0"/>
        <v>0</v>
      </c>
      <c r="H15" s="44"/>
      <c r="K15" s="16"/>
      <c r="L15" s="57"/>
      <c r="M15" s="43"/>
      <c r="N15" s="59" t="str">
        <f>_xlfn.IFNA(VLOOKUP(K15,Päästökertoimet!$T$2:$U$91,2,FALSE),"-")</f>
        <v>-</v>
      </c>
      <c r="O15" s="23">
        <f t="shared" si="1"/>
        <v>0</v>
      </c>
      <c r="Q15" s="9"/>
    </row>
    <row r="16" spans="2:17" x14ac:dyDescent="0.25">
      <c r="B16" s="16"/>
      <c r="C16" s="57"/>
      <c r="D16" s="43"/>
      <c r="E16" s="59" t="str">
        <f>_xlfn.IFNA(VLOOKUP(B16,Päästökertoimet!$T$2:$U$91,2,FALSE),"-")</f>
        <v>-</v>
      </c>
      <c r="F16" s="23">
        <f t="shared" si="0"/>
        <v>0</v>
      </c>
      <c r="H16" s="44"/>
      <c r="K16" s="16"/>
      <c r="L16" s="57"/>
      <c r="M16" s="43"/>
      <c r="N16" s="59" t="str">
        <f>_xlfn.IFNA(VLOOKUP(K16,Päästökertoimet!$T$2:$U$91,2,FALSE),"-")</f>
        <v>-</v>
      </c>
      <c r="O16" s="23">
        <f t="shared" si="1"/>
        <v>0</v>
      </c>
      <c r="Q16" s="9"/>
    </row>
    <row r="17" spans="2:17" x14ac:dyDescent="0.25">
      <c r="B17" s="16"/>
      <c r="C17" s="57"/>
      <c r="D17" s="43"/>
      <c r="E17" s="59" t="str">
        <f>_xlfn.IFNA(VLOOKUP(B17,Päästökertoimet!$T$2:$U$91,2,FALSE),"-")</f>
        <v>-</v>
      </c>
      <c r="F17" s="23">
        <f t="shared" si="0"/>
        <v>0</v>
      </c>
      <c r="H17" s="44"/>
      <c r="K17" s="16"/>
      <c r="L17" s="57"/>
      <c r="M17" s="43"/>
      <c r="N17" s="59" t="str">
        <f>_xlfn.IFNA(VLOOKUP(K17,Päästökertoimet!$T$2:$U$91,2,FALSE),"-")</f>
        <v>-</v>
      </c>
      <c r="O17" s="23">
        <f t="shared" si="1"/>
        <v>0</v>
      </c>
      <c r="Q17" s="9"/>
    </row>
    <row r="18" spans="2:17" x14ac:dyDescent="0.25">
      <c r="B18" s="112"/>
      <c r="C18" s="113"/>
      <c r="D18" s="113"/>
      <c r="E18" s="113"/>
      <c r="F18" s="23">
        <f t="shared" si="0"/>
        <v>0</v>
      </c>
      <c r="H18" s="44"/>
      <c r="K18" s="112"/>
      <c r="L18" s="113"/>
      <c r="M18" s="113"/>
      <c r="N18" s="113"/>
      <c r="O18" s="23">
        <f t="shared" si="1"/>
        <v>0</v>
      </c>
      <c r="Q18" s="9"/>
    </row>
    <row r="19" spans="2:17" ht="15.75" thickBot="1" x14ac:dyDescent="0.3">
      <c r="B19" s="114"/>
      <c r="C19" s="115"/>
      <c r="D19" s="115"/>
      <c r="E19" s="115"/>
      <c r="F19" s="24">
        <f t="shared" si="0"/>
        <v>0</v>
      </c>
      <c r="H19" s="44"/>
      <c r="K19" s="114"/>
      <c r="L19" s="115"/>
      <c r="M19" s="115"/>
      <c r="N19" s="115"/>
      <c r="O19" s="24">
        <f t="shared" si="1"/>
        <v>0</v>
      </c>
      <c r="Q19" s="9"/>
    </row>
    <row r="20" spans="2:17" x14ac:dyDescent="0.25">
      <c r="C20" s="2"/>
      <c r="D20" s="2"/>
      <c r="E20" s="2"/>
      <c r="H20" s="44"/>
      <c r="K20" s="2"/>
      <c r="L20" s="2"/>
      <c r="M20" s="2"/>
      <c r="N20" s="2"/>
      <c r="Q20" s="9"/>
    </row>
    <row r="21" spans="2:17" ht="16.5" thickBot="1" x14ac:dyDescent="0.3">
      <c r="B21" s="142" t="s">
        <v>468</v>
      </c>
      <c r="C21" s="142"/>
      <c r="D21" s="142"/>
      <c r="E21" s="142"/>
      <c r="F21" s="142"/>
      <c r="H21" s="44"/>
      <c r="K21" s="142" t="s">
        <v>468</v>
      </c>
      <c r="L21" s="142"/>
      <c r="M21" s="142"/>
      <c r="N21" s="142"/>
      <c r="O21" s="142"/>
      <c r="Q21" s="9"/>
    </row>
    <row r="22" spans="2:17" ht="18.75" thickBot="1" x14ac:dyDescent="0.4">
      <c r="B22" s="10" t="s">
        <v>475</v>
      </c>
      <c r="C22" s="10" t="s">
        <v>333</v>
      </c>
      <c r="D22" s="10" t="s">
        <v>472</v>
      </c>
      <c r="E22" s="10" t="s">
        <v>58</v>
      </c>
      <c r="F22" s="10" t="s">
        <v>60</v>
      </c>
      <c r="H22" s="44"/>
      <c r="K22" s="10" t="s">
        <v>475</v>
      </c>
      <c r="L22" s="10" t="s">
        <v>333</v>
      </c>
      <c r="M22" s="10" t="s">
        <v>472</v>
      </c>
      <c r="N22" s="10" t="s">
        <v>58</v>
      </c>
      <c r="O22" s="10" t="s">
        <v>60</v>
      </c>
      <c r="Q22" s="9"/>
    </row>
    <row r="23" spans="2:17" x14ac:dyDescent="0.25">
      <c r="B23" s="14"/>
      <c r="C23" s="34"/>
      <c r="D23" s="27"/>
      <c r="E23" s="7" t="str">
        <f>_xlfn.IFNA(VLOOKUP(B23,Päästökertoimet!$W$3:$X$5,2,FALSE),"-")</f>
        <v>-</v>
      </c>
      <c r="F23" s="23">
        <f>IF(C23&gt;0,E23*C23*D23,0)</f>
        <v>0</v>
      </c>
      <c r="H23" s="44"/>
      <c r="K23" s="14"/>
      <c r="L23" s="34"/>
      <c r="M23" s="27"/>
      <c r="N23" s="7" t="str">
        <f>_xlfn.IFNA(VLOOKUP(K23,Päästökertoimet!$W$3:$X$5,2,FALSE),"-")</f>
        <v>-</v>
      </c>
      <c r="O23" s="23">
        <f>IF(L23&gt;0,N23*L23*M23,0)</f>
        <v>0</v>
      </c>
      <c r="Q23" s="9"/>
    </row>
    <row r="24" spans="2:17" x14ac:dyDescent="0.25">
      <c r="B24" s="16"/>
      <c r="C24" s="27"/>
      <c r="D24" s="27"/>
      <c r="E24" s="7" t="str">
        <f>_xlfn.IFNA(VLOOKUP(B24,Päästökertoimet!$W$3:$X$5,2,FALSE),"-")</f>
        <v>-</v>
      </c>
      <c r="F24" s="23">
        <f t="shared" ref="F24:F32" si="2">IF(C24&gt;0,E24*C24*D24,0)</f>
        <v>0</v>
      </c>
      <c r="H24" s="44"/>
      <c r="K24" s="16"/>
      <c r="L24" s="27"/>
      <c r="M24" s="27"/>
      <c r="N24" s="7" t="str">
        <f>_xlfn.IFNA(VLOOKUP(K24,Päästökertoimet!$W$3:$X$5,2,FALSE),"-")</f>
        <v>-</v>
      </c>
      <c r="O24" s="23">
        <f t="shared" ref="O24:O32" si="3">IF(L24&gt;0,N24*L24*M24,0)</f>
        <v>0</v>
      </c>
      <c r="Q24" s="9"/>
    </row>
    <row r="25" spans="2:17" x14ac:dyDescent="0.25">
      <c r="B25" s="16"/>
      <c r="C25" s="27"/>
      <c r="D25" s="27"/>
      <c r="E25" s="7" t="str">
        <f>_xlfn.IFNA(VLOOKUP(B25,Päästökertoimet!$W$3:$X$5,2,FALSE),"-")</f>
        <v>-</v>
      </c>
      <c r="F25" s="23">
        <f t="shared" si="2"/>
        <v>0</v>
      </c>
      <c r="H25" s="44"/>
      <c r="K25" s="16"/>
      <c r="L25" s="27"/>
      <c r="M25" s="27"/>
      <c r="N25" s="7" t="str">
        <f>_xlfn.IFNA(VLOOKUP(K25,Päästökertoimet!$W$3:$X$5,2,FALSE),"-")</f>
        <v>-</v>
      </c>
      <c r="O25" s="23">
        <f t="shared" si="3"/>
        <v>0</v>
      </c>
      <c r="Q25" s="9"/>
    </row>
    <row r="26" spans="2:17" x14ac:dyDescent="0.25">
      <c r="B26" s="16"/>
      <c r="C26" s="27"/>
      <c r="D26" s="27"/>
      <c r="E26" s="7" t="str">
        <f>_xlfn.IFNA(VLOOKUP(B26,Päästökertoimet!$W$3:$X$5,2,FALSE),"-")</f>
        <v>-</v>
      </c>
      <c r="F26" s="23">
        <f t="shared" si="2"/>
        <v>0</v>
      </c>
      <c r="H26" s="44"/>
      <c r="K26" s="16"/>
      <c r="L26" s="27"/>
      <c r="M26" s="27"/>
      <c r="N26" s="7" t="str">
        <f>_xlfn.IFNA(VLOOKUP(K26,Päästökertoimet!$W$3:$X$5,2,FALSE),"-")</f>
        <v>-</v>
      </c>
      <c r="O26" s="23">
        <f t="shared" si="3"/>
        <v>0</v>
      </c>
      <c r="Q26" s="9"/>
    </row>
    <row r="27" spans="2:17" x14ac:dyDescent="0.25">
      <c r="B27" s="16"/>
      <c r="C27" s="27"/>
      <c r="D27" s="27"/>
      <c r="E27" s="7" t="str">
        <f>_xlfn.IFNA(VLOOKUP(B27,Päästökertoimet!$W$3:$X$5,2,FALSE),"-")</f>
        <v>-</v>
      </c>
      <c r="F27" s="23">
        <f t="shared" si="2"/>
        <v>0</v>
      </c>
      <c r="H27" s="44"/>
      <c r="K27" s="16"/>
      <c r="L27" s="27"/>
      <c r="M27" s="27"/>
      <c r="N27" s="7" t="str">
        <f>_xlfn.IFNA(VLOOKUP(K27,Päästökertoimet!$W$3:$X$5,2,FALSE),"-")</f>
        <v>-</v>
      </c>
      <c r="O27" s="23">
        <f t="shared" si="3"/>
        <v>0</v>
      </c>
      <c r="Q27" s="9"/>
    </row>
    <row r="28" spans="2:17" x14ac:dyDescent="0.25">
      <c r="B28" s="16"/>
      <c r="C28" s="27"/>
      <c r="D28" s="27"/>
      <c r="E28" s="7" t="str">
        <f>_xlfn.IFNA(VLOOKUP(B28,Päästökertoimet!$W$3:$X$5,2,FALSE),"-")</f>
        <v>-</v>
      </c>
      <c r="F28" s="23">
        <f t="shared" si="2"/>
        <v>0</v>
      </c>
      <c r="H28" s="44"/>
      <c r="K28" s="16"/>
      <c r="L28" s="27"/>
      <c r="M28" s="27"/>
      <c r="N28" s="7" t="str">
        <f>_xlfn.IFNA(VLOOKUP(K28,Päästökertoimet!$W$3:$X$5,2,FALSE),"-")</f>
        <v>-</v>
      </c>
      <c r="O28" s="23">
        <f t="shared" si="3"/>
        <v>0</v>
      </c>
      <c r="Q28" s="9"/>
    </row>
    <row r="29" spans="2:17" x14ac:dyDescent="0.25">
      <c r="B29" s="16"/>
      <c r="C29" s="27"/>
      <c r="D29" s="27"/>
      <c r="E29" s="7" t="str">
        <f>_xlfn.IFNA(VLOOKUP(B29,Päästökertoimet!$W$3:$X$5,2,FALSE),"-")</f>
        <v>-</v>
      </c>
      <c r="F29" s="23">
        <f t="shared" si="2"/>
        <v>0</v>
      </c>
      <c r="H29" s="44"/>
      <c r="K29" s="16"/>
      <c r="L29" s="27"/>
      <c r="M29" s="27"/>
      <c r="N29" s="7" t="str">
        <f>_xlfn.IFNA(VLOOKUP(K29,Päästökertoimet!$W$3:$X$5,2,FALSE),"-")</f>
        <v>-</v>
      </c>
      <c r="O29" s="23">
        <f t="shared" si="3"/>
        <v>0</v>
      </c>
      <c r="Q29" s="9"/>
    </row>
    <row r="30" spans="2:17" x14ac:dyDescent="0.25">
      <c r="B30" s="16"/>
      <c r="C30" s="27"/>
      <c r="D30" s="27"/>
      <c r="E30" s="7" t="str">
        <f>_xlfn.IFNA(VLOOKUP(B30,Päästökertoimet!$W$3:$X$5,2,FALSE),"-")</f>
        <v>-</v>
      </c>
      <c r="F30" s="23">
        <f t="shared" si="2"/>
        <v>0</v>
      </c>
      <c r="H30" s="44"/>
      <c r="K30" s="16"/>
      <c r="L30" s="27"/>
      <c r="M30" s="27"/>
      <c r="N30" s="7" t="str">
        <f>_xlfn.IFNA(VLOOKUP(K30,Päästökertoimet!$W$3:$X$5,2,FALSE),"-")</f>
        <v>-</v>
      </c>
      <c r="O30" s="23">
        <f t="shared" si="3"/>
        <v>0</v>
      </c>
      <c r="Q30" s="9"/>
    </row>
    <row r="31" spans="2:17" x14ac:dyDescent="0.25">
      <c r="B31" s="112"/>
      <c r="C31" s="113"/>
      <c r="D31" s="113"/>
      <c r="E31" s="113"/>
      <c r="F31" s="23">
        <f t="shared" si="2"/>
        <v>0</v>
      </c>
      <c r="H31" s="44"/>
      <c r="K31" s="112"/>
      <c r="L31" s="113"/>
      <c r="M31" s="113"/>
      <c r="N31" s="113"/>
      <c r="O31" s="23">
        <f t="shared" si="3"/>
        <v>0</v>
      </c>
      <c r="Q31" s="9"/>
    </row>
    <row r="32" spans="2:17" ht="15.75" thickBot="1" x14ac:dyDescent="0.3">
      <c r="B32" s="114"/>
      <c r="C32" s="115"/>
      <c r="D32" s="115"/>
      <c r="E32" s="115"/>
      <c r="F32" s="24">
        <f t="shared" si="2"/>
        <v>0</v>
      </c>
      <c r="H32" s="44"/>
      <c r="K32" s="114"/>
      <c r="L32" s="115"/>
      <c r="M32" s="115"/>
      <c r="N32" s="115"/>
      <c r="O32" s="24">
        <f t="shared" si="3"/>
        <v>0</v>
      </c>
      <c r="Q32" s="9"/>
    </row>
    <row r="33" spans="2:17" x14ac:dyDescent="0.25">
      <c r="C33" s="2"/>
      <c r="D33" s="2"/>
      <c r="E33" s="2"/>
      <c r="H33" s="44"/>
      <c r="K33" s="2"/>
      <c r="L33" s="2"/>
      <c r="M33" s="2"/>
      <c r="N33" s="2"/>
      <c r="Q33" s="9"/>
    </row>
    <row r="34" spans="2:17" ht="16.5" thickBot="1" x14ac:dyDescent="0.3">
      <c r="B34" s="142" t="s">
        <v>471</v>
      </c>
      <c r="C34" s="142"/>
      <c r="D34" s="142"/>
      <c r="E34" s="142"/>
      <c r="F34" s="142"/>
      <c r="H34" s="44"/>
      <c r="K34" s="142" t="s">
        <v>471</v>
      </c>
      <c r="L34" s="142"/>
      <c r="M34" s="142"/>
      <c r="N34" s="142"/>
      <c r="O34" s="142"/>
      <c r="Q34" s="9"/>
    </row>
    <row r="35" spans="2:17" ht="18.75" thickBot="1" x14ac:dyDescent="0.4">
      <c r="B35" s="10" t="s">
        <v>476</v>
      </c>
      <c r="C35" s="61" t="s">
        <v>333</v>
      </c>
      <c r="D35" s="10" t="s">
        <v>472</v>
      </c>
      <c r="E35" s="10" t="s">
        <v>58</v>
      </c>
      <c r="F35" s="10" t="s">
        <v>60</v>
      </c>
      <c r="H35" s="44"/>
      <c r="K35" s="10" t="s">
        <v>476</v>
      </c>
      <c r="L35" s="61" t="s">
        <v>333</v>
      </c>
      <c r="M35" s="10" t="s">
        <v>472</v>
      </c>
      <c r="N35" s="10" t="s">
        <v>58</v>
      </c>
      <c r="O35" s="10" t="s">
        <v>60</v>
      </c>
      <c r="Q35" s="9"/>
    </row>
    <row r="36" spans="2:17" x14ac:dyDescent="0.25">
      <c r="B36" s="14"/>
      <c r="C36" s="34"/>
      <c r="D36" s="27"/>
      <c r="E36" s="7" t="str">
        <f>_xlfn.IFNA(VLOOKUP(B36,Päästökertoimet!$W$38:$X$39,2,FALSE),"-")</f>
        <v>-</v>
      </c>
      <c r="F36" s="23">
        <f>IF(C36&gt;0,E36*C36*D36,0)</f>
        <v>0</v>
      </c>
      <c r="H36" s="44"/>
      <c r="K36" s="14"/>
      <c r="L36" s="34"/>
      <c r="M36" s="27"/>
      <c r="N36" s="7" t="str">
        <f>_xlfn.IFNA(VLOOKUP(K36,Päästökertoimet!$W$38:$X$39,2,FALSE),"-")</f>
        <v>-</v>
      </c>
      <c r="O36" s="23">
        <f>IF(L36&gt;0,N36*L36*M36,0)</f>
        <v>0</v>
      </c>
      <c r="Q36" s="9"/>
    </row>
    <row r="37" spans="2:17" x14ac:dyDescent="0.25">
      <c r="B37" s="16"/>
      <c r="C37" s="27"/>
      <c r="D37" s="27"/>
      <c r="E37" s="7" t="str">
        <f>_xlfn.IFNA(VLOOKUP(B37,Päästökertoimet!$W$38:$X$39,2,FALSE),"-")</f>
        <v>-</v>
      </c>
      <c r="F37" s="23">
        <f>IF(C37&gt;0,E37*C37*D37,0)</f>
        <v>0</v>
      </c>
      <c r="H37" s="44"/>
      <c r="K37" s="16"/>
      <c r="L37" s="27"/>
      <c r="M37" s="27"/>
      <c r="N37" s="7" t="str">
        <f>_xlfn.IFNA(VLOOKUP(K37,Päästökertoimet!$W$38:$X$39,2,FALSE),"-")</f>
        <v>-</v>
      </c>
      <c r="O37" s="23">
        <f>IF(L37&gt;0,N37*L37*M37,0)</f>
        <v>0</v>
      </c>
      <c r="Q37" s="9"/>
    </row>
    <row r="38" spans="2:17" x14ac:dyDescent="0.25">
      <c r="B38" s="16"/>
      <c r="C38" s="27"/>
      <c r="D38" s="27"/>
      <c r="E38" s="7" t="str">
        <f>_xlfn.IFNA(VLOOKUP(B38,Päästökertoimet!$W$38:$X$39,2,FALSE),"-")</f>
        <v>-</v>
      </c>
      <c r="F38" s="23">
        <f t="shared" ref="F38:F44" si="4">IF(C38&gt;0,E38*C38*D38,0)</f>
        <v>0</v>
      </c>
      <c r="H38" s="44"/>
      <c r="K38" s="16"/>
      <c r="L38" s="27"/>
      <c r="M38" s="27"/>
      <c r="N38" s="7" t="str">
        <f>_xlfn.IFNA(VLOOKUP(K38,Päästökertoimet!$W$38:$X$39,2,FALSE),"-")</f>
        <v>-</v>
      </c>
      <c r="O38" s="23">
        <f t="shared" ref="O38:O44" si="5">IF(L38&gt;0,N38*L38*M38,0)</f>
        <v>0</v>
      </c>
      <c r="Q38" s="9"/>
    </row>
    <row r="39" spans="2:17" x14ac:dyDescent="0.25">
      <c r="B39" s="16"/>
      <c r="C39" s="27"/>
      <c r="D39" s="27"/>
      <c r="E39" s="7" t="str">
        <f>_xlfn.IFNA(VLOOKUP(B39,Päästökertoimet!$W$38:$X$39,2,FALSE),"-")</f>
        <v>-</v>
      </c>
      <c r="F39" s="23">
        <f t="shared" si="4"/>
        <v>0</v>
      </c>
      <c r="H39" s="44"/>
      <c r="K39" s="16"/>
      <c r="L39" s="27"/>
      <c r="M39" s="27"/>
      <c r="N39" s="7" t="str">
        <f>_xlfn.IFNA(VLOOKUP(K39,Päästökertoimet!$W$38:$X$39,2,FALSE),"-")</f>
        <v>-</v>
      </c>
      <c r="O39" s="23">
        <f t="shared" si="5"/>
        <v>0</v>
      </c>
      <c r="Q39" s="9"/>
    </row>
    <row r="40" spans="2:17" x14ac:dyDescent="0.25">
      <c r="B40" s="16"/>
      <c r="C40" s="27"/>
      <c r="D40" s="27"/>
      <c r="E40" s="7" t="str">
        <f>_xlfn.IFNA(VLOOKUP(B40,Päästökertoimet!$W$38:$X$39,2,FALSE),"-")</f>
        <v>-</v>
      </c>
      <c r="F40" s="23">
        <f t="shared" si="4"/>
        <v>0</v>
      </c>
      <c r="H40" s="44"/>
      <c r="K40" s="16"/>
      <c r="L40" s="27"/>
      <c r="M40" s="27"/>
      <c r="N40" s="7" t="str">
        <f>_xlfn.IFNA(VLOOKUP(K40,Päästökertoimet!$W$38:$X$39,2,FALSE),"-")</f>
        <v>-</v>
      </c>
      <c r="O40" s="23">
        <f t="shared" si="5"/>
        <v>0</v>
      </c>
      <c r="Q40" s="9"/>
    </row>
    <row r="41" spans="2:17" x14ac:dyDescent="0.25">
      <c r="B41" s="16"/>
      <c r="C41" s="27"/>
      <c r="D41" s="27"/>
      <c r="E41" s="7" t="str">
        <f>_xlfn.IFNA(VLOOKUP(B41,Päästökertoimet!$W$38:$X$39,2,FALSE),"-")</f>
        <v>-</v>
      </c>
      <c r="F41" s="23">
        <f t="shared" si="4"/>
        <v>0</v>
      </c>
      <c r="H41" s="44"/>
      <c r="K41" s="16"/>
      <c r="L41" s="27"/>
      <c r="M41" s="27"/>
      <c r="N41" s="7" t="str">
        <f>_xlfn.IFNA(VLOOKUP(K41,Päästökertoimet!$W$38:$X$39,2,FALSE),"-")</f>
        <v>-</v>
      </c>
      <c r="O41" s="23">
        <f t="shared" si="5"/>
        <v>0</v>
      </c>
      <c r="Q41" s="9"/>
    </row>
    <row r="42" spans="2:17" x14ac:dyDescent="0.25">
      <c r="B42" s="16"/>
      <c r="C42" s="27"/>
      <c r="D42" s="27"/>
      <c r="E42" s="7" t="str">
        <f>_xlfn.IFNA(VLOOKUP(B42,Päästökertoimet!$W$38:$X$39,2,FALSE),"-")</f>
        <v>-</v>
      </c>
      <c r="F42" s="23">
        <f t="shared" si="4"/>
        <v>0</v>
      </c>
      <c r="H42" s="44"/>
      <c r="K42" s="16"/>
      <c r="L42" s="27"/>
      <c r="M42" s="27"/>
      <c r="N42" s="7" t="str">
        <f>_xlfn.IFNA(VLOOKUP(K42,Päästökertoimet!$W$38:$X$39,2,FALSE),"-")</f>
        <v>-</v>
      </c>
      <c r="O42" s="23">
        <f t="shared" si="5"/>
        <v>0</v>
      </c>
      <c r="Q42" s="9"/>
    </row>
    <row r="43" spans="2:17" x14ac:dyDescent="0.25">
      <c r="B43" s="16"/>
      <c r="C43" s="27"/>
      <c r="D43" s="27"/>
      <c r="E43" s="7" t="str">
        <f>_xlfn.IFNA(VLOOKUP(B43,Päästökertoimet!$W$38:$X$39,2,FALSE),"-")</f>
        <v>-</v>
      </c>
      <c r="F43" s="23">
        <f t="shared" si="4"/>
        <v>0</v>
      </c>
      <c r="H43" s="44"/>
      <c r="K43" s="16"/>
      <c r="L43" s="27"/>
      <c r="M43" s="27"/>
      <c r="N43" s="7" t="str">
        <f>_xlfn.IFNA(VLOOKUP(K43,Päästökertoimet!$W$38:$X$39,2,FALSE),"-")</f>
        <v>-</v>
      </c>
      <c r="O43" s="23">
        <f t="shared" si="5"/>
        <v>0</v>
      </c>
      <c r="Q43" s="9"/>
    </row>
    <row r="44" spans="2:17" x14ac:dyDescent="0.25">
      <c r="B44" s="112"/>
      <c r="C44" s="113"/>
      <c r="D44" s="113"/>
      <c r="E44" s="113"/>
      <c r="F44" s="23">
        <f t="shared" si="4"/>
        <v>0</v>
      </c>
      <c r="H44" s="44"/>
      <c r="K44" s="112"/>
      <c r="L44" s="113"/>
      <c r="M44" s="113"/>
      <c r="N44" s="113"/>
      <c r="O44" s="23">
        <f t="shared" si="5"/>
        <v>0</v>
      </c>
      <c r="Q44" s="9"/>
    </row>
    <row r="45" spans="2:17" ht="15.75" thickBot="1" x14ac:dyDescent="0.3">
      <c r="B45" s="114"/>
      <c r="C45" s="115"/>
      <c r="D45" s="115"/>
      <c r="E45" s="115"/>
      <c r="F45" s="24">
        <f>IF(C45&gt;0,E45*C45*D45,0)</f>
        <v>0</v>
      </c>
      <c r="H45" s="44"/>
      <c r="K45" s="114"/>
      <c r="L45" s="115"/>
      <c r="M45" s="115"/>
      <c r="N45" s="115"/>
      <c r="O45" s="24">
        <f>IF(L45&gt;0,N45*L45*M45,0)</f>
        <v>0</v>
      </c>
      <c r="Q45" s="9"/>
    </row>
    <row r="46" spans="2:17" x14ac:dyDescent="0.25">
      <c r="C46" s="2"/>
      <c r="D46" s="2"/>
      <c r="E46" s="2"/>
      <c r="H46" s="44"/>
      <c r="K46" s="2"/>
      <c r="L46" s="2"/>
      <c r="M46" s="2"/>
      <c r="N46" s="2"/>
      <c r="Q46" s="9"/>
    </row>
    <row r="47" spans="2:17" ht="16.5" thickBot="1" x14ac:dyDescent="0.3">
      <c r="B47" s="142" t="s">
        <v>470</v>
      </c>
      <c r="C47" s="142"/>
      <c r="D47" s="142"/>
      <c r="E47" s="142"/>
      <c r="F47" s="142"/>
      <c r="H47" s="44"/>
      <c r="K47" s="142" t="s">
        <v>470</v>
      </c>
      <c r="L47" s="142"/>
      <c r="M47" s="142"/>
      <c r="N47" s="142"/>
      <c r="O47" s="142"/>
      <c r="Q47" s="9"/>
    </row>
    <row r="48" spans="2:17" ht="18.75" thickBot="1" x14ac:dyDescent="0.4">
      <c r="B48" s="10" t="s">
        <v>332</v>
      </c>
      <c r="C48" s="10" t="s">
        <v>333</v>
      </c>
      <c r="D48" s="10" t="s">
        <v>472</v>
      </c>
      <c r="E48" s="10" t="s">
        <v>58</v>
      </c>
      <c r="F48" s="10" t="s">
        <v>60</v>
      </c>
      <c r="H48" s="44"/>
      <c r="K48" s="10" t="s">
        <v>332</v>
      </c>
      <c r="L48" s="10" t="s">
        <v>333</v>
      </c>
      <c r="M48" s="10" t="s">
        <v>472</v>
      </c>
      <c r="N48" s="10" t="s">
        <v>58</v>
      </c>
      <c r="O48" s="10" t="s">
        <v>60</v>
      </c>
      <c r="Q48" s="9"/>
    </row>
    <row r="49" spans="2:17" x14ac:dyDescent="0.25">
      <c r="B49" s="14"/>
      <c r="C49" s="34"/>
      <c r="D49" s="27"/>
      <c r="E49" s="7" t="str">
        <f>_xlfn.IFNA(VLOOKUP(B49,Päästökertoimet!$W$9:$X$34,2,FALSE),"-")</f>
        <v>-</v>
      </c>
      <c r="F49" s="23">
        <f>IF(C49&gt;0,E49*C49*D49,0)</f>
        <v>0</v>
      </c>
      <c r="H49" s="44"/>
      <c r="K49" s="14"/>
      <c r="L49" s="34"/>
      <c r="M49" s="27"/>
      <c r="N49" s="7" t="str">
        <f>_xlfn.IFNA(VLOOKUP(K49,Päästökertoimet!$W$9:$X$34,2,FALSE),"-")</f>
        <v>-</v>
      </c>
      <c r="O49" s="23">
        <f>IF(L49&gt;0,N49*L49*M49,0)</f>
        <v>0</v>
      </c>
      <c r="Q49" s="9"/>
    </row>
    <row r="50" spans="2:17" x14ac:dyDescent="0.25">
      <c r="B50" s="16"/>
      <c r="C50" s="27"/>
      <c r="D50" s="27"/>
      <c r="E50" s="7" t="str">
        <f>_xlfn.IFNA(VLOOKUP(B50,Päästökertoimet!$W$9:$X$34,2,FALSE),"-")</f>
        <v>-</v>
      </c>
      <c r="F50" s="23">
        <f t="shared" ref="F50:F58" si="6">IF(C50&gt;0,E50*C50*D50,0)</f>
        <v>0</v>
      </c>
      <c r="H50" s="44"/>
      <c r="K50" s="16"/>
      <c r="L50" s="27"/>
      <c r="M50" s="27"/>
      <c r="N50" s="7" t="str">
        <f>_xlfn.IFNA(VLOOKUP(K50,Päästökertoimet!$W$9:$X$34,2,FALSE),"-")</f>
        <v>-</v>
      </c>
      <c r="O50" s="23">
        <f t="shared" ref="O50:O58" si="7">IF(L50&gt;0,N50*L50*M50,0)</f>
        <v>0</v>
      </c>
      <c r="Q50" s="9"/>
    </row>
    <row r="51" spans="2:17" x14ac:dyDescent="0.25">
      <c r="B51" s="16"/>
      <c r="C51" s="27"/>
      <c r="D51" s="27"/>
      <c r="E51" s="7" t="str">
        <f>_xlfn.IFNA(VLOOKUP(B51,Päästökertoimet!$W$9:$X$34,2,FALSE),"-")</f>
        <v>-</v>
      </c>
      <c r="F51" s="23">
        <f t="shared" si="6"/>
        <v>0</v>
      </c>
      <c r="H51" s="44"/>
      <c r="K51" s="16"/>
      <c r="L51" s="27"/>
      <c r="M51" s="27"/>
      <c r="N51" s="7" t="str">
        <f>_xlfn.IFNA(VLOOKUP(K51,Päästökertoimet!$W$9:$X$34,2,FALSE),"-")</f>
        <v>-</v>
      </c>
      <c r="O51" s="23">
        <f t="shared" si="7"/>
        <v>0</v>
      </c>
      <c r="Q51" s="9"/>
    </row>
    <row r="52" spans="2:17" x14ac:dyDescent="0.25">
      <c r="B52" s="16"/>
      <c r="C52" s="27"/>
      <c r="D52" s="27"/>
      <c r="E52" s="7" t="str">
        <f>_xlfn.IFNA(VLOOKUP(B52,Päästökertoimet!$W$9:$X$34,2,FALSE),"-")</f>
        <v>-</v>
      </c>
      <c r="F52" s="23">
        <f t="shared" si="6"/>
        <v>0</v>
      </c>
      <c r="H52" s="44"/>
      <c r="K52" s="16"/>
      <c r="L52" s="27"/>
      <c r="M52" s="27"/>
      <c r="N52" s="7" t="str">
        <f>_xlfn.IFNA(VLOOKUP(K52,Päästökertoimet!$W$9:$X$34,2,FALSE),"-")</f>
        <v>-</v>
      </c>
      <c r="O52" s="23">
        <f t="shared" si="7"/>
        <v>0</v>
      </c>
      <c r="Q52" s="9"/>
    </row>
    <row r="53" spans="2:17" x14ac:dyDescent="0.25">
      <c r="B53" s="16"/>
      <c r="C53" s="27"/>
      <c r="D53" s="27"/>
      <c r="E53" s="7" t="str">
        <f>_xlfn.IFNA(VLOOKUP(B53,Päästökertoimet!$W$9:$X$34,2,FALSE),"-")</f>
        <v>-</v>
      </c>
      <c r="F53" s="23">
        <f t="shared" si="6"/>
        <v>0</v>
      </c>
      <c r="H53" s="44"/>
      <c r="K53" s="16"/>
      <c r="L53" s="27"/>
      <c r="M53" s="27"/>
      <c r="N53" s="7" t="str">
        <f>_xlfn.IFNA(VLOOKUP(K53,Päästökertoimet!$W$9:$X$34,2,FALSE),"-")</f>
        <v>-</v>
      </c>
      <c r="O53" s="23">
        <f t="shared" si="7"/>
        <v>0</v>
      </c>
      <c r="Q53" s="9"/>
    </row>
    <row r="54" spans="2:17" x14ac:dyDescent="0.25">
      <c r="B54" s="16"/>
      <c r="C54" s="27"/>
      <c r="D54" s="27"/>
      <c r="E54" s="7" t="str">
        <f>_xlfn.IFNA(VLOOKUP(B54,Päästökertoimet!$W$9:$X$34,2,FALSE),"-")</f>
        <v>-</v>
      </c>
      <c r="F54" s="23">
        <f t="shared" si="6"/>
        <v>0</v>
      </c>
      <c r="H54" s="44"/>
      <c r="K54" s="16"/>
      <c r="L54" s="27"/>
      <c r="M54" s="27"/>
      <c r="N54" s="7" t="str">
        <f>_xlfn.IFNA(VLOOKUP(K54,Päästökertoimet!$W$9:$X$34,2,FALSE),"-")</f>
        <v>-</v>
      </c>
      <c r="O54" s="23">
        <f t="shared" si="7"/>
        <v>0</v>
      </c>
      <c r="Q54" s="9"/>
    </row>
    <row r="55" spans="2:17" x14ac:dyDescent="0.25">
      <c r="B55" s="16"/>
      <c r="C55" s="27"/>
      <c r="D55" s="27"/>
      <c r="E55" s="7" t="str">
        <f>_xlfn.IFNA(VLOOKUP(B55,Päästökertoimet!$W$9:$X$34,2,FALSE),"-")</f>
        <v>-</v>
      </c>
      <c r="F55" s="23">
        <f t="shared" si="6"/>
        <v>0</v>
      </c>
      <c r="H55" s="44"/>
      <c r="K55" s="16"/>
      <c r="L55" s="27"/>
      <c r="M55" s="27"/>
      <c r="N55" s="7" t="str">
        <f>_xlfn.IFNA(VLOOKUP(K55,Päästökertoimet!$W$9:$X$34,2,FALSE),"-")</f>
        <v>-</v>
      </c>
      <c r="O55" s="23">
        <f t="shared" si="7"/>
        <v>0</v>
      </c>
      <c r="Q55" s="9"/>
    </row>
    <row r="56" spans="2:17" x14ac:dyDescent="0.25">
      <c r="B56" s="16"/>
      <c r="C56" s="27"/>
      <c r="D56" s="27"/>
      <c r="E56" s="7" t="str">
        <f>_xlfn.IFNA(VLOOKUP(B56,Päästökertoimet!$W$9:$X$34,2,FALSE),"-")</f>
        <v>-</v>
      </c>
      <c r="F56" s="23">
        <f t="shared" si="6"/>
        <v>0</v>
      </c>
      <c r="H56" s="44"/>
      <c r="K56" s="16"/>
      <c r="L56" s="27"/>
      <c r="M56" s="27"/>
      <c r="N56" s="7" t="str">
        <f>_xlfn.IFNA(VLOOKUP(K56,Päästökertoimet!$W$9:$X$34,2,FALSE),"-")</f>
        <v>-</v>
      </c>
      <c r="O56" s="23">
        <f t="shared" si="7"/>
        <v>0</v>
      </c>
      <c r="Q56" s="9"/>
    </row>
    <row r="57" spans="2:17" x14ac:dyDescent="0.25">
      <c r="B57" s="112"/>
      <c r="C57" s="113"/>
      <c r="D57" s="113"/>
      <c r="E57" s="113"/>
      <c r="F57" s="23">
        <f t="shared" si="6"/>
        <v>0</v>
      </c>
      <c r="H57" s="44"/>
      <c r="K57" s="112"/>
      <c r="L57" s="113"/>
      <c r="M57" s="113"/>
      <c r="N57" s="113"/>
      <c r="O57" s="23">
        <f t="shared" si="7"/>
        <v>0</v>
      </c>
      <c r="Q57" s="9"/>
    </row>
    <row r="58" spans="2:17" ht="15.75" thickBot="1" x14ac:dyDescent="0.3">
      <c r="B58" s="114"/>
      <c r="C58" s="115"/>
      <c r="D58" s="115"/>
      <c r="E58" s="115"/>
      <c r="F58" s="24">
        <f t="shared" si="6"/>
        <v>0</v>
      </c>
      <c r="H58" s="44"/>
      <c r="K58" s="114"/>
      <c r="L58" s="115"/>
      <c r="M58" s="115"/>
      <c r="N58" s="115"/>
      <c r="O58" s="24">
        <f t="shared" si="7"/>
        <v>0</v>
      </c>
      <c r="Q58" s="9"/>
    </row>
    <row r="59" spans="2:17" x14ac:dyDescent="0.25">
      <c r="Q59" s="9"/>
    </row>
    <row r="60" spans="2:17" x14ac:dyDescent="0.25">
      <c r="Q60" s="9"/>
    </row>
    <row r="61" spans="2:17" x14ac:dyDescent="0.25">
      <c r="Q61" s="9"/>
    </row>
    <row r="62" spans="2:17" x14ac:dyDescent="0.25">
      <c r="Q62" s="9"/>
    </row>
    <row r="63" spans="2:17" x14ac:dyDescent="0.25">
      <c r="Q63" s="9"/>
    </row>
    <row r="64" spans="2:17" x14ac:dyDescent="0.25">
      <c r="Q64" s="9"/>
    </row>
    <row r="65" spans="17:17" x14ac:dyDescent="0.25">
      <c r="Q65" s="9"/>
    </row>
    <row r="66" spans="17:17" x14ac:dyDescent="0.25">
      <c r="Q66" s="9"/>
    </row>
    <row r="67" spans="17:17" x14ac:dyDescent="0.25">
      <c r="Q67" s="9"/>
    </row>
    <row r="68" spans="17:17" x14ac:dyDescent="0.25">
      <c r="Q68" s="9"/>
    </row>
    <row r="69" spans="17:17" x14ac:dyDescent="0.25">
      <c r="Q69" s="9"/>
    </row>
    <row r="70" spans="17:17" x14ac:dyDescent="0.25">
      <c r="Q70" s="9"/>
    </row>
    <row r="71" spans="17:17" x14ac:dyDescent="0.25">
      <c r="Q71" s="9"/>
    </row>
    <row r="72" spans="17:17" x14ac:dyDescent="0.25">
      <c r="Q72" s="9"/>
    </row>
    <row r="73" spans="17:17" x14ac:dyDescent="0.25">
      <c r="Q73" s="9"/>
    </row>
    <row r="74" spans="17:17" x14ac:dyDescent="0.25">
      <c r="Q74" s="9"/>
    </row>
    <row r="75" spans="17:17" x14ac:dyDescent="0.25">
      <c r="Q75" s="9"/>
    </row>
    <row r="76" spans="17:17" x14ac:dyDescent="0.25">
      <c r="Q76" s="9"/>
    </row>
    <row r="77" spans="17:17" x14ac:dyDescent="0.25">
      <c r="Q77" s="9"/>
    </row>
    <row r="78" spans="17:17" x14ac:dyDescent="0.25">
      <c r="Q78" s="9"/>
    </row>
    <row r="79" spans="17:17" x14ac:dyDescent="0.25">
      <c r="Q79" s="9"/>
    </row>
    <row r="80" spans="17:17" x14ac:dyDescent="0.25">
      <c r="Q80" s="9"/>
    </row>
    <row r="81" spans="17:17" x14ac:dyDescent="0.25">
      <c r="Q81" s="9"/>
    </row>
    <row r="82" spans="17:17" x14ac:dyDescent="0.25">
      <c r="Q82" s="9"/>
    </row>
    <row r="83" spans="17:17" x14ac:dyDescent="0.25">
      <c r="Q83" s="9"/>
    </row>
    <row r="84" spans="17:17" x14ac:dyDescent="0.25">
      <c r="Q84" s="9"/>
    </row>
    <row r="85" spans="17:17" x14ac:dyDescent="0.25">
      <c r="Q85" s="9"/>
    </row>
    <row r="86" spans="17:17" x14ac:dyDescent="0.25">
      <c r="Q86" s="9"/>
    </row>
    <row r="87" spans="17:17" x14ac:dyDescent="0.25">
      <c r="Q87" s="9"/>
    </row>
    <row r="88" spans="17:17" x14ac:dyDescent="0.25">
      <c r="Q88" s="9"/>
    </row>
    <row r="89" spans="17:17" x14ac:dyDescent="0.25">
      <c r="Q89" s="9"/>
    </row>
    <row r="90" spans="17:17" x14ac:dyDescent="0.25">
      <c r="Q90" s="9"/>
    </row>
    <row r="91" spans="17:17" x14ac:dyDescent="0.25">
      <c r="Q91" s="9"/>
    </row>
    <row r="92" spans="17:17" x14ac:dyDescent="0.25">
      <c r="Q92" s="9"/>
    </row>
    <row r="93" spans="17:17" x14ac:dyDescent="0.25">
      <c r="Q93" s="9"/>
    </row>
    <row r="94" spans="17:17" x14ac:dyDescent="0.25">
      <c r="Q94" s="9"/>
    </row>
    <row r="95" spans="17:17" x14ac:dyDescent="0.25">
      <c r="Q95" s="9"/>
    </row>
    <row r="96" spans="17:17" x14ac:dyDescent="0.25">
      <c r="Q96" s="9"/>
    </row>
    <row r="97" spans="17:17" x14ac:dyDescent="0.25">
      <c r="Q97" s="9"/>
    </row>
  </sheetData>
  <mergeCells count="14">
    <mergeCell ref="B47:F47"/>
    <mergeCell ref="K2:O2"/>
    <mergeCell ref="K3:O4"/>
    <mergeCell ref="K6:O6"/>
    <mergeCell ref="K8:O8"/>
    <mergeCell ref="K21:O21"/>
    <mergeCell ref="K34:O34"/>
    <mergeCell ref="K47:O47"/>
    <mergeCell ref="B2:F2"/>
    <mergeCell ref="B3:F4"/>
    <mergeCell ref="B6:F6"/>
    <mergeCell ref="B8:F8"/>
    <mergeCell ref="B21:F21"/>
    <mergeCell ref="B34:F34"/>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Päästökertoimet!$P$17:$P$20</xm:f>
          </x14:formula1>
          <xm:sqref>B24:B30 K24:K30</xm:sqref>
        </x14:dataValidation>
        <x14:dataValidation type="list" allowBlank="1" showInputMessage="1" showErrorMessage="1" xr:uid="{00000000-0002-0000-0900-000001000000}">
          <x14:formula1>
            <xm:f>Päästökertoimet!$T$1:$T$91</xm:f>
          </x14:formula1>
          <xm:sqref>B10:B17 K10:K17</xm:sqref>
        </x14:dataValidation>
        <x14:dataValidation type="list" allowBlank="1" showInputMessage="1" showErrorMessage="1" xr:uid="{00000000-0002-0000-0900-000002000000}">
          <x14:formula1>
            <xm:f>Päästökertoimet!$W$2:$W$5</xm:f>
          </x14:formula1>
          <xm:sqref>B23 K23</xm:sqref>
        </x14:dataValidation>
        <x14:dataValidation type="list" allowBlank="1" showInputMessage="1" showErrorMessage="1" xr:uid="{00000000-0002-0000-0900-000003000000}">
          <x14:formula1>
            <xm:f>Päästökertoimet!$W$37:$W$39</xm:f>
          </x14:formula1>
          <xm:sqref>B36:B43 K36:K43</xm:sqref>
        </x14:dataValidation>
        <x14:dataValidation type="list" allowBlank="1" showInputMessage="1" showErrorMessage="1" xr:uid="{00000000-0002-0000-0900-000004000000}">
          <x14:formula1>
            <xm:f>Päästökertoimet!$W$8:$W$34</xm:f>
          </x14:formula1>
          <xm:sqref>B49:B56 K49:K56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B1:O101"/>
  <sheetViews>
    <sheetView workbookViewId="0"/>
  </sheetViews>
  <sheetFormatPr defaultColWidth="9.28515625" defaultRowHeight="15" x14ac:dyDescent="0.25"/>
  <cols>
    <col min="1" max="1" width="9.28515625" style="1"/>
    <col min="2" max="2" width="19.28515625" style="2" bestFit="1" customWidth="1"/>
    <col min="3" max="3" width="18.7109375" style="2" bestFit="1" customWidth="1"/>
    <col min="4" max="4" width="24.28515625" style="2" bestFit="1" customWidth="1"/>
    <col min="5" max="5" width="30.5703125" style="2" bestFit="1" customWidth="1"/>
    <col min="6" max="6" width="30.5703125" style="1" bestFit="1" customWidth="1"/>
    <col min="7" max="7" width="15.28515625" style="1" bestFit="1" customWidth="1"/>
    <col min="8" max="10" width="9.28515625" style="1"/>
    <col min="11" max="11" width="20.5703125" style="1" customWidth="1"/>
    <col min="12" max="12" width="19.5703125" style="1" customWidth="1"/>
    <col min="13" max="13" width="23.5703125" style="1" bestFit="1" customWidth="1"/>
    <col min="14" max="14" width="24.5703125" style="1" bestFit="1" customWidth="1"/>
    <col min="15" max="15" width="15.42578125" style="1" bestFit="1" customWidth="1"/>
    <col min="16" max="16384" width="9.28515625" style="1"/>
  </cols>
  <sheetData>
    <row r="1" spans="2:15" x14ac:dyDescent="0.25">
      <c r="I1" s="107"/>
    </row>
    <row r="2" spans="2:15" ht="15.75" customHeight="1" x14ac:dyDescent="0.25">
      <c r="B2" s="136" t="s">
        <v>306</v>
      </c>
      <c r="C2" s="136"/>
      <c r="D2" s="136"/>
      <c r="E2" s="136"/>
      <c r="F2" s="136"/>
      <c r="H2" s="44"/>
      <c r="K2" s="136" t="s">
        <v>306</v>
      </c>
      <c r="L2" s="136"/>
      <c r="M2" s="136"/>
      <c r="N2" s="136"/>
      <c r="O2" s="136"/>
    </row>
    <row r="3" spans="2:15" ht="15" customHeight="1" x14ac:dyDescent="0.25">
      <c r="B3" s="135" t="s">
        <v>1143</v>
      </c>
      <c r="C3" s="135"/>
      <c r="D3" s="135"/>
      <c r="E3" s="135"/>
      <c r="F3" s="135"/>
      <c r="H3" s="44"/>
      <c r="K3" s="135" t="s">
        <v>1144</v>
      </c>
      <c r="L3" s="135"/>
      <c r="M3" s="135"/>
      <c r="N3" s="135"/>
      <c r="O3" s="135"/>
    </row>
    <row r="4" spans="2:15" ht="15" customHeight="1" x14ac:dyDescent="0.25">
      <c r="B4" s="135"/>
      <c r="C4" s="135"/>
      <c r="D4" s="135"/>
      <c r="E4" s="135"/>
      <c r="F4" s="135"/>
      <c r="H4" s="44"/>
      <c r="K4" s="135"/>
      <c r="L4" s="135"/>
      <c r="M4" s="135"/>
      <c r="N4" s="135"/>
      <c r="O4" s="135"/>
    </row>
    <row r="5" spans="2:15" x14ac:dyDescent="0.25">
      <c r="H5" s="44"/>
      <c r="K5" s="2"/>
      <c r="L5" s="2"/>
      <c r="M5" s="2"/>
      <c r="N5" s="2"/>
    </row>
    <row r="6" spans="2:15" ht="18.75" x14ac:dyDescent="0.3">
      <c r="B6" s="140" t="s">
        <v>76</v>
      </c>
      <c r="C6" s="140"/>
      <c r="D6" s="140"/>
      <c r="E6" s="140"/>
      <c r="F6" s="140"/>
      <c r="H6" s="44"/>
      <c r="K6" s="140" t="s">
        <v>342</v>
      </c>
      <c r="L6" s="140"/>
      <c r="M6" s="140"/>
      <c r="N6" s="140"/>
      <c r="O6" s="140"/>
    </row>
    <row r="7" spans="2:15" ht="18.75" x14ac:dyDescent="0.3">
      <c r="B7" s="52"/>
      <c r="C7" s="52"/>
      <c r="D7" s="52"/>
      <c r="E7" s="52"/>
      <c r="F7" s="52"/>
      <c r="H7" s="44"/>
      <c r="K7" s="52"/>
      <c r="L7" s="52"/>
      <c r="M7" s="52"/>
      <c r="N7" s="52"/>
      <c r="O7" s="52"/>
    </row>
    <row r="8" spans="2:15" ht="16.5" thickBot="1" x14ac:dyDescent="0.3">
      <c r="B8" s="141" t="s">
        <v>317</v>
      </c>
      <c r="C8" s="142"/>
      <c r="D8" s="142"/>
      <c r="E8" s="142"/>
      <c r="F8" s="141"/>
      <c r="H8" s="44"/>
      <c r="K8" s="142" t="s">
        <v>317</v>
      </c>
      <c r="L8" s="142"/>
      <c r="M8" s="141"/>
      <c r="N8" s="142"/>
      <c r="O8" s="141"/>
    </row>
    <row r="9" spans="2:15" ht="18.75" thickBot="1" x14ac:dyDescent="0.4">
      <c r="B9" s="10" t="s">
        <v>325</v>
      </c>
      <c r="C9" s="10" t="s">
        <v>326</v>
      </c>
      <c r="D9" s="10" t="s">
        <v>327</v>
      </c>
      <c r="E9" s="10" t="s">
        <v>60</v>
      </c>
      <c r="F9" s="111"/>
      <c r="H9" s="44"/>
      <c r="K9" s="10" t="s">
        <v>325</v>
      </c>
      <c r="L9" s="10" t="s">
        <v>326</v>
      </c>
      <c r="M9" s="12" t="s">
        <v>327</v>
      </c>
      <c r="N9" s="10" t="s">
        <v>60</v>
      </c>
      <c r="O9" s="111"/>
    </row>
    <row r="10" spans="2:15" x14ac:dyDescent="0.25">
      <c r="B10" s="58"/>
      <c r="C10" s="56"/>
      <c r="D10" s="59" t="str">
        <f>_xlfn.IFNA(VLOOKUP(B10,Päästökertoimet!$P$3:$Q$13,2,FALSE),"-")</f>
        <v>-</v>
      </c>
      <c r="E10" s="23">
        <f>IF(C10&gt;0,D10*C10,0)</f>
        <v>0</v>
      </c>
      <c r="H10" s="44"/>
      <c r="K10" s="58"/>
      <c r="L10" s="56"/>
      <c r="M10" s="60" t="str">
        <f>_xlfn.IFNA(VLOOKUP(K10,Päästökertoimet!$P$3:$Q$13,2,FALSE),"-")</f>
        <v>-</v>
      </c>
      <c r="N10" s="23">
        <f>IF(L10&gt;0,M10*L10,0)</f>
        <v>0</v>
      </c>
    </row>
    <row r="11" spans="2:15" x14ac:dyDescent="0.25">
      <c r="B11" s="22"/>
      <c r="C11" s="57"/>
      <c r="D11" s="59" t="str">
        <f>_xlfn.IFNA(VLOOKUP(B11,Päästökertoimet!$P$3:$Q$13,2,FALSE),"-")</f>
        <v>-</v>
      </c>
      <c r="E11" s="23">
        <f t="shared" ref="E11:E19" si="0">IF(C11&gt;0,D11*C11,0)</f>
        <v>0</v>
      </c>
      <c r="H11" s="44"/>
      <c r="K11" s="22"/>
      <c r="L11" s="57"/>
      <c r="M11" s="59" t="str">
        <f>_xlfn.IFNA(VLOOKUP(K11,Päästökertoimet!$P$3:$Q$13,2,FALSE),"-")</f>
        <v>-</v>
      </c>
      <c r="N11" s="23">
        <f t="shared" ref="N11:N19" si="1">IF(L11&gt;0,M11*L11,0)</f>
        <v>0</v>
      </c>
    </row>
    <row r="12" spans="2:15" x14ac:dyDescent="0.25">
      <c r="B12" s="22"/>
      <c r="C12" s="57"/>
      <c r="D12" s="59" t="str">
        <f>_xlfn.IFNA(VLOOKUP(B12,Päästökertoimet!$P$3:$Q$13,2,FALSE),"-")</f>
        <v>-</v>
      </c>
      <c r="E12" s="23">
        <f t="shared" si="0"/>
        <v>0</v>
      </c>
      <c r="H12" s="44"/>
      <c r="K12" s="22"/>
      <c r="L12" s="57"/>
      <c r="M12" s="59" t="str">
        <f>_xlfn.IFNA(VLOOKUP(K12,Päästökertoimet!$P$3:$Q$13,2,FALSE),"-")</f>
        <v>-</v>
      </c>
      <c r="N12" s="23">
        <f t="shared" si="1"/>
        <v>0</v>
      </c>
    </row>
    <row r="13" spans="2:15" x14ac:dyDescent="0.25">
      <c r="B13" s="22"/>
      <c r="C13" s="57"/>
      <c r="D13" s="59" t="str">
        <f>_xlfn.IFNA(VLOOKUP(B13,Päästökertoimet!$P$3:$Q$13,2,FALSE),"-")</f>
        <v>-</v>
      </c>
      <c r="E13" s="23">
        <f t="shared" si="0"/>
        <v>0</v>
      </c>
      <c r="H13" s="44"/>
      <c r="K13" s="22"/>
      <c r="L13" s="57"/>
      <c r="M13" s="59" t="str">
        <f>_xlfn.IFNA(VLOOKUP(K13,Päästökertoimet!$P$3:$Q$13,2,FALSE),"-")</f>
        <v>-</v>
      </c>
      <c r="N13" s="23">
        <f t="shared" si="1"/>
        <v>0</v>
      </c>
    </row>
    <row r="14" spans="2:15" x14ac:dyDescent="0.25">
      <c r="B14" s="22"/>
      <c r="C14" s="57"/>
      <c r="D14" s="59" t="str">
        <f>_xlfn.IFNA(VLOOKUP(B14,Päästökertoimet!$P$3:$Q$13,2,FALSE),"-")</f>
        <v>-</v>
      </c>
      <c r="E14" s="23">
        <f t="shared" si="0"/>
        <v>0</v>
      </c>
      <c r="H14" s="44"/>
      <c r="K14" s="22"/>
      <c r="L14" s="57"/>
      <c r="M14" s="59" t="str">
        <f>_xlfn.IFNA(VLOOKUP(K14,Päästökertoimet!$P$3:$Q$13,2,FALSE),"-")</f>
        <v>-</v>
      </c>
      <c r="N14" s="23">
        <f t="shared" si="1"/>
        <v>0</v>
      </c>
    </row>
    <row r="15" spans="2:15" x14ac:dyDescent="0.25">
      <c r="B15" s="22"/>
      <c r="C15" s="57"/>
      <c r="D15" s="59" t="str">
        <f>_xlfn.IFNA(VLOOKUP(B15,Päästökertoimet!$P$3:$Q$13,2,FALSE),"-")</f>
        <v>-</v>
      </c>
      <c r="E15" s="23">
        <f t="shared" si="0"/>
        <v>0</v>
      </c>
      <c r="H15" s="44"/>
      <c r="K15" s="22"/>
      <c r="L15" s="57"/>
      <c r="M15" s="59" t="str">
        <f>_xlfn.IFNA(VLOOKUP(K15,Päästökertoimet!$P$3:$Q$13,2,FALSE),"-")</f>
        <v>-</v>
      </c>
      <c r="N15" s="23">
        <f t="shared" si="1"/>
        <v>0</v>
      </c>
    </row>
    <row r="16" spans="2:15" x14ac:dyDescent="0.25">
      <c r="B16" s="22"/>
      <c r="C16" s="57"/>
      <c r="D16" s="59" t="str">
        <f>_xlfn.IFNA(VLOOKUP(B16,Päästökertoimet!$P$3:$Q$13,2,FALSE),"-")</f>
        <v>-</v>
      </c>
      <c r="E16" s="23">
        <f t="shared" si="0"/>
        <v>0</v>
      </c>
      <c r="H16" s="44"/>
      <c r="K16" s="22"/>
      <c r="L16" s="57"/>
      <c r="M16" s="59" t="str">
        <f>_xlfn.IFNA(VLOOKUP(K16,Päästökertoimet!$P$3:$Q$13,2,FALSE),"-")</f>
        <v>-</v>
      </c>
      <c r="N16" s="23">
        <f t="shared" si="1"/>
        <v>0</v>
      </c>
    </row>
    <row r="17" spans="2:15" x14ac:dyDescent="0.25">
      <c r="B17" s="22"/>
      <c r="C17" s="57"/>
      <c r="D17" s="59" t="str">
        <f>_xlfn.IFNA(VLOOKUP(B17,Päästökertoimet!$P$3:$Q$13,2,FALSE),"-")</f>
        <v>-</v>
      </c>
      <c r="E17" s="23">
        <f t="shared" si="0"/>
        <v>0</v>
      </c>
      <c r="H17" s="44"/>
      <c r="K17" s="22"/>
      <c r="L17" s="57"/>
      <c r="M17" s="59" t="str">
        <f>_xlfn.IFNA(VLOOKUP(K17,Päästökertoimet!$P$3:$Q$13,2,FALSE),"-")</f>
        <v>-</v>
      </c>
      <c r="N17" s="23">
        <f t="shared" si="1"/>
        <v>0</v>
      </c>
    </row>
    <row r="18" spans="2:15" x14ac:dyDescent="0.25">
      <c r="B18" s="112"/>
      <c r="C18" s="113"/>
      <c r="D18" s="113"/>
      <c r="E18" s="23">
        <f t="shared" si="0"/>
        <v>0</v>
      </c>
      <c r="H18" s="44"/>
      <c r="K18" s="112"/>
      <c r="L18" s="113"/>
      <c r="M18" s="113"/>
      <c r="N18" s="23">
        <f t="shared" si="1"/>
        <v>0</v>
      </c>
    </row>
    <row r="19" spans="2:15" ht="15.75" thickBot="1" x14ac:dyDescent="0.3">
      <c r="B19" s="114"/>
      <c r="C19" s="115"/>
      <c r="D19" s="115"/>
      <c r="E19" s="24">
        <f t="shared" si="0"/>
        <v>0</v>
      </c>
      <c r="H19" s="44"/>
      <c r="K19" s="114"/>
      <c r="L19" s="115"/>
      <c r="M19" s="115"/>
      <c r="N19" s="24">
        <f t="shared" si="1"/>
        <v>0</v>
      </c>
    </row>
    <row r="20" spans="2:15" x14ac:dyDescent="0.25">
      <c r="H20" s="44"/>
      <c r="K20" s="2"/>
      <c r="L20" s="2"/>
      <c r="M20" s="2"/>
      <c r="N20" s="2"/>
    </row>
    <row r="21" spans="2:15" ht="16.5" thickBot="1" x14ac:dyDescent="0.3">
      <c r="B21" s="142" t="s">
        <v>328</v>
      </c>
      <c r="C21" s="142"/>
      <c r="D21" s="142"/>
      <c r="E21" s="142"/>
      <c r="F21" s="142"/>
      <c r="H21" s="44"/>
      <c r="K21" s="142" t="s">
        <v>328</v>
      </c>
      <c r="L21" s="142"/>
      <c r="M21" s="142"/>
      <c r="N21" s="142"/>
      <c r="O21" s="142"/>
    </row>
    <row r="22" spans="2:15" ht="18" x14ac:dyDescent="0.35">
      <c r="B22" s="11" t="s">
        <v>332</v>
      </c>
      <c r="C22" s="61" t="s">
        <v>333</v>
      </c>
      <c r="D22" s="11" t="s">
        <v>334</v>
      </c>
      <c r="E22" s="61" t="s">
        <v>1166</v>
      </c>
      <c r="F22" s="61" t="s">
        <v>60</v>
      </c>
      <c r="H22" s="44"/>
      <c r="K22" s="11" t="s">
        <v>332</v>
      </c>
      <c r="L22" s="61" t="s">
        <v>333</v>
      </c>
      <c r="M22" s="11" t="s">
        <v>334</v>
      </c>
      <c r="N22" s="61" t="s">
        <v>1166</v>
      </c>
      <c r="O22" s="61" t="s">
        <v>60</v>
      </c>
    </row>
    <row r="23" spans="2:15" x14ac:dyDescent="0.25">
      <c r="B23" s="22"/>
      <c r="C23" s="34"/>
      <c r="D23" s="27"/>
      <c r="E23" s="7" t="str">
        <f>_xlfn.IFNA(VLOOKUP(B23,Päästökertoimet!$P$18:$Q$20,2,FALSE),"-")</f>
        <v>-</v>
      </c>
      <c r="F23" s="23">
        <f t="shared" ref="F23:F32" si="2">IF(C23&gt;0,E23*C23,0)</f>
        <v>0</v>
      </c>
      <c r="H23" s="44"/>
      <c r="K23" s="22"/>
      <c r="L23" s="34"/>
      <c r="M23" s="27"/>
      <c r="N23" s="7" t="str">
        <f>_xlfn.IFNA(VLOOKUP(K23,Päästökertoimet!$P$18:$Q$20,2,FALSE),"-")</f>
        <v>-</v>
      </c>
      <c r="O23" s="23">
        <f t="shared" ref="O23:O32" si="3">IF(L23&gt;0,N23*L23,0)</f>
        <v>0</v>
      </c>
    </row>
    <row r="24" spans="2:15" x14ac:dyDescent="0.25">
      <c r="B24" s="22"/>
      <c r="C24" s="27"/>
      <c r="D24" s="27"/>
      <c r="E24" s="7" t="str">
        <f>_xlfn.IFNA(VLOOKUP(B24,Päästökertoimet!$P$18:$Q$20,2,FALSE),"-")</f>
        <v>-</v>
      </c>
      <c r="F24" s="23">
        <f t="shared" si="2"/>
        <v>0</v>
      </c>
      <c r="H24" s="44"/>
      <c r="K24" s="22"/>
      <c r="L24" s="27"/>
      <c r="M24" s="27"/>
      <c r="N24" s="7" t="str">
        <f>_xlfn.IFNA(VLOOKUP(K24,Päästökertoimet!$P$18:$Q$20,2,FALSE),"-")</f>
        <v>-</v>
      </c>
      <c r="O24" s="23">
        <f t="shared" si="3"/>
        <v>0</v>
      </c>
    </row>
    <row r="25" spans="2:15" x14ac:dyDescent="0.25">
      <c r="B25" s="22"/>
      <c r="C25" s="27"/>
      <c r="D25" s="27"/>
      <c r="E25" s="7" t="str">
        <f>_xlfn.IFNA(VLOOKUP(B25,Päästökertoimet!$P$18:$Q$20,2,FALSE),"-")</f>
        <v>-</v>
      </c>
      <c r="F25" s="23">
        <f t="shared" si="2"/>
        <v>0</v>
      </c>
      <c r="H25" s="44"/>
      <c r="K25" s="22"/>
      <c r="L25" s="27"/>
      <c r="M25" s="27"/>
      <c r="N25" s="7" t="str">
        <f>_xlfn.IFNA(VLOOKUP(K25,Päästökertoimet!$P$18:$Q$20,2,FALSE),"-")</f>
        <v>-</v>
      </c>
      <c r="O25" s="23">
        <f t="shared" si="3"/>
        <v>0</v>
      </c>
    </row>
    <row r="26" spans="2:15" x14ac:dyDescent="0.25">
      <c r="B26" s="22"/>
      <c r="C26" s="27"/>
      <c r="D26" s="27"/>
      <c r="E26" s="7" t="str">
        <f>_xlfn.IFNA(VLOOKUP(B26,Päästökertoimet!$P$18:$Q$20,2,FALSE),"-")</f>
        <v>-</v>
      </c>
      <c r="F26" s="23">
        <f t="shared" si="2"/>
        <v>0</v>
      </c>
      <c r="H26" s="44"/>
      <c r="K26" s="22"/>
      <c r="L26" s="27"/>
      <c r="M26" s="27"/>
      <c r="N26" s="7" t="str">
        <f>_xlfn.IFNA(VLOOKUP(K26,Päästökertoimet!$P$18:$Q$20,2,FALSE),"-")</f>
        <v>-</v>
      </c>
      <c r="O26" s="23">
        <f t="shared" si="3"/>
        <v>0</v>
      </c>
    </row>
    <row r="27" spans="2:15" x14ac:dyDescent="0.25">
      <c r="B27" s="22"/>
      <c r="C27" s="27"/>
      <c r="D27" s="27"/>
      <c r="E27" s="7" t="str">
        <f>_xlfn.IFNA(VLOOKUP(B27,Päästökertoimet!$P$18:$Q$20,2,FALSE),"-")</f>
        <v>-</v>
      </c>
      <c r="F27" s="23">
        <f t="shared" si="2"/>
        <v>0</v>
      </c>
      <c r="H27" s="44"/>
      <c r="K27" s="22"/>
      <c r="L27" s="27"/>
      <c r="M27" s="27"/>
      <c r="N27" s="7" t="str">
        <f>_xlfn.IFNA(VLOOKUP(K27,Päästökertoimet!$P$18:$Q$20,2,FALSE),"-")</f>
        <v>-</v>
      </c>
      <c r="O27" s="23">
        <f t="shared" si="3"/>
        <v>0</v>
      </c>
    </row>
    <row r="28" spans="2:15" x14ac:dyDescent="0.25">
      <c r="B28" s="22"/>
      <c r="C28" s="27"/>
      <c r="D28" s="27"/>
      <c r="E28" s="7" t="str">
        <f>_xlfn.IFNA(VLOOKUP(B28,Päästökertoimet!$P$18:$Q$20,2,FALSE),"-")</f>
        <v>-</v>
      </c>
      <c r="F28" s="23">
        <f t="shared" si="2"/>
        <v>0</v>
      </c>
      <c r="H28" s="44"/>
      <c r="K28" s="22"/>
      <c r="L28" s="27"/>
      <c r="M28" s="27"/>
      <c r="N28" s="7" t="str">
        <f>_xlfn.IFNA(VLOOKUP(K28,Päästökertoimet!$P$18:$Q$20,2,FALSE),"-")</f>
        <v>-</v>
      </c>
      <c r="O28" s="23">
        <f t="shared" si="3"/>
        <v>0</v>
      </c>
    </row>
    <row r="29" spans="2:15" x14ac:dyDescent="0.25">
      <c r="B29" s="22"/>
      <c r="C29" s="27"/>
      <c r="D29" s="27"/>
      <c r="E29" s="7" t="str">
        <f>_xlfn.IFNA(VLOOKUP(B29,Päästökertoimet!$P$18:$Q$20,2,FALSE),"-")</f>
        <v>-</v>
      </c>
      <c r="F29" s="23">
        <f t="shared" si="2"/>
        <v>0</v>
      </c>
      <c r="H29" s="44"/>
      <c r="K29" s="22"/>
      <c r="L29" s="27"/>
      <c r="M29" s="27"/>
      <c r="N29" s="7" t="str">
        <f>_xlfn.IFNA(VLOOKUP(K29,Päästökertoimet!$P$18:$Q$20,2,FALSE),"-")</f>
        <v>-</v>
      </c>
      <c r="O29" s="23">
        <f t="shared" si="3"/>
        <v>0</v>
      </c>
    </row>
    <row r="30" spans="2:15" x14ac:dyDescent="0.25">
      <c r="B30" s="22"/>
      <c r="C30" s="27"/>
      <c r="D30" s="27"/>
      <c r="E30" s="7" t="str">
        <f>_xlfn.IFNA(VLOOKUP(B30,Päästökertoimet!$P$18:$Q$20,2,FALSE),"-")</f>
        <v>-</v>
      </c>
      <c r="F30" s="23">
        <f t="shared" si="2"/>
        <v>0</v>
      </c>
      <c r="H30" s="44"/>
      <c r="K30" s="22"/>
      <c r="L30" s="27"/>
      <c r="M30" s="27"/>
      <c r="N30" s="7" t="str">
        <f>_xlfn.IFNA(VLOOKUP(K30,Päästökertoimet!$P$18:$Q$20,2,FALSE),"-")</f>
        <v>-</v>
      </c>
      <c r="O30" s="23">
        <f t="shared" si="3"/>
        <v>0</v>
      </c>
    </row>
    <row r="31" spans="2:15" x14ac:dyDescent="0.25">
      <c r="B31" s="112"/>
      <c r="C31" s="113"/>
      <c r="D31" s="113"/>
      <c r="E31" s="113"/>
      <c r="F31" s="23">
        <f t="shared" si="2"/>
        <v>0</v>
      </c>
      <c r="H31" s="44"/>
      <c r="K31" s="112"/>
      <c r="L31" s="113"/>
      <c r="M31" s="113"/>
      <c r="N31" s="113"/>
      <c r="O31" s="23">
        <f t="shared" si="3"/>
        <v>0</v>
      </c>
    </row>
    <row r="32" spans="2:15" ht="15.75" thickBot="1" x14ac:dyDescent="0.3">
      <c r="B32" s="114"/>
      <c r="C32" s="115"/>
      <c r="D32" s="115"/>
      <c r="E32" s="115"/>
      <c r="F32" s="24">
        <f t="shared" si="2"/>
        <v>0</v>
      </c>
      <c r="H32" s="44"/>
      <c r="K32" s="114"/>
      <c r="L32" s="115"/>
      <c r="M32" s="115"/>
      <c r="N32" s="115"/>
      <c r="O32" s="24">
        <f t="shared" si="3"/>
        <v>0</v>
      </c>
    </row>
    <row r="33" spans="2:15" x14ac:dyDescent="0.25">
      <c r="H33" s="44"/>
      <c r="K33" s="2"/>
      <c r="L33" s="2"/>
      <c r="M33" s="2"/>
      <c r="N33" s="2"/>
    </row>
    <row r="34" spans="2:15" ht="16.5" thickBot="1" x14ac:dyDescent="0.3">
      <c r="B34" s="142" t="s">
        <v>335</v>
      </c>
      <c r="C34" s="142"/>
      <c r="D34" s="142"/>
      <c r="E34" s="142"/>
      <c r="F34" s="142"/>
      <c r="H34" s="44"/>
      <c r="K34" s="142" t="s">
        <v>335</v>
      </c>
      <c r="L34" s="142"/>
      <c r="M34" s="142"/>
      <c r="N34" s="142"/>
      <c r="O34" s="142"/>
    </row>
    <row r="35" spans="2:15" ht="18" x14ac:dyDescent="0.35">
      <c r="B35" s="11" t="s">
        <v>332</v>
      </c>
      <c r="C35" s="61" t="s">
        <v>333</v>
      </c>
      <c r="D35" s="11" t="s">
        <v>334</v>
      </c>
      <c r="E35" s="61" t="s">
        <v>1166</v>
      </c>
      <c r="F35" s="61" t="s">
        <v>60</v>
      </c>
      <c r="H35" s="44"/>
      <c r="K35" s="11" t="s">
        <v>332</v>
      </c>
      <c r="L35" s="61" t="s">
        <v>333</v>
      </c>
      <c r="M35" s="11" t="s">
        <v>334</v>
      </c>
      <c r="N35" s="61" t="s">
        <v>1166</v>
      </c>
      <c r="O35" s="61" t="s">
        <v>60</v>
      </c>
    </row>
    <row r="36" spans="2:15" x14ac:dyDescent="0.25">
      <c r="B36" s="22"/>
      <c r="C36" s="34"/>
      <c r="D36" s="27"/>
      <c r="E36" s="7" t="str">
        <f>_xlfn.IFNA(VLOOKUP(B36,Päästökertoimet!$P$25:$Q$28,2,FALSE),"-")</f>
        <v>-</v>
      </c>
      <c r="F36" s="23">
        <f t="shared" ref="F36:F45" si="4">IF(C36&gt;0,E36*C36,0)</f>
        <v>0</v>
      </c>
      <c r="H36" s="44"/>
      <c r="K36" s="22"/>
      <c r="L36" s="34"/>
      <c r="M36" s="27"/>
      <c r="N36" s="7" t="str">
        <f>_xlfn.IFNA(VLOOKUP(K36,Päästökertoimet!$P$25:$Q$28,2,FALSE),"-")</f>
        <v>-</v>
      </c>
      <c r="O36" s="23">
        <f t="shared" ref="O36:O45" si="5">IF(L36&gt;0,N36*L36,0)</f>
        <v>0</v>
      </c>
    </row>
    <row r="37" spans="2:15" x14ac:dyDescent="0.25">
      <c r="B37" s="22"/>
      <c r="C37" s="27"/>
      <c r="D37" s="27"/>
      <c r="E37" s="7" t="str">
        <f>_xlfn.IFNA(VLOOKUP(B37,Päästökertoimet!$P$25:$Q$28,2,FALSE),"-")</f>
        <v>-</v>
      </c>
      <c r="F37" s="23">
        <f t="shared" si="4"/>
        <v>0</v>
      </c>
      <c r="H37" s="44"/>
      <c r="K37" s="22"/>
      <c r="L37" s="27"/>
      <c r="M37" s="27"/>
      <c r="N37" s="7" t="str">
        <f>_xlfn.IFNA(VLOOKUP(K37,Päästökertoimet!$P$25:$Q$28,2,FALSE),"-")</f>
        <v>-</v>
      </c>
      <c r="O37" s="23">
        <f t="shared" si="5"/>
        <v>0</v>
      </c>
    </row>
    <row r="38" spans="2:15" x14ac:dyDescent="0.25">
      <c r="B38" s="22"/>
      <c r="C38" s="27"/>
      <c r="D38" s="27"/>
      <c r="E38" s="7" t="str">
        <f>_xlfn.IFNA(VLOOKUP(B38,Päästökertoimet!$P$25:$Q$28,2,FALSE),"-")</f>
        <v>-</v>
      </c>
      <c r="F38" s="23">
        <f t="shared" si="4"/>
        <v>0</v>
      </c>
      <c r="H38" s="44"/>
      <c r="K38" s="22"/>
      <c r="L38" s="27"/>
      <c r="M38" s="27"/>
      <c r="N38" s="7" t="str">
        <f>_xlfn.IFNA(VLOOKUP(K38,Päästökertoimet!$P$25:$Q$28,2,FALSE),"-")</f>
        <v>-</v>
      </c>
      <c r="O38" s="23">
        <f t="shared" si="5"/>
        <v>0</v>
      </c>
    </row>
    <row r="39" spans="2:15" x14ac:dyDescent="0.25">
      <c r="B39" s="22"/>
      <c r="C39" s="27"/>
      <c r="D39" s="27"/>
      <c r="E39" s="7" t="str">
        <f>_xlfn.IFNA(VLOOKUP(B39,Päästökertoimet!$P$25:$Q$28,2,FALSE),"-")</f>
        <v>-</v>
      </c>
      <c r="F39" s="23">
        <f t="shared" si="4"/>
        <v>0</v>
      </c>
      <c r="H39" s="44"/>
      <c r="K39" s="22"/>
      <c r="L39" s="27"/>
      <c r="M39" s="27"/>
      <c r="N39" s="7" t="str">
        <f>_xlfn.IFNA(VLOOKUP(K39,Päästökertoimet!$P$25:$Q$28,2,FALSE),"-")</f>
        <v>-</v>
      </c>
      <c r="O39" s="23">
        <f t="shared" si="5"/>
        <v>0</v>
      </c>
    </row>
    <row r="40" spans="2:15" x14ac:dyDescent="0.25">
      <c r="B40" s="22"/>
      <c r="C40" s="27"/>
      <c r="D40" s="27"/>
      <c r="E40" s="7" t="str">
        <f>_xlfn.IFNA(VLOOKUP(B40,Päästökertoimet!$P$25:$Q$28,2,FALSE),"-")</f>
        <v>-</v>
      </c>
      <c r="F40" s="23">
        <f t="shared" si="4"/>
        <v>0</v>
      </c>
      <c r="H40" s="44"/>
      <c r="K40" s="22"/>
      <c r="L40" s="27"/>
      <c r="M40" s="27"/>
      <c r="N40" s="7" t="str">
        <f>_xlfn.IFNA(VLOOKUP(K40,Päästökertoimet!$P$25:$Q$28,2,FALSE),"-")</f>
        <v>-</v>
      </c>
      <c r="O40" s="23">
        <f t="shared" si="5"/>
        <v>0</v>
      </c>
    </row>
    <row r="41" spans="2:15" x14ac:dyDescent="0.25">
      <c r="B41" s="22"/>
      <c r="C41" s="27"/>
      <c r="D41" s="27"/>
      <c r="E41" s="7" t="str">
        <f>_xlfn.IFNA(VLOOKUP(B41,Päästökertoimet!$P$25:$Q$28,2,FALSE),"-")</f>
        <v>-</v>
      </c>
      <c r="F41" s="23">
        <f t="shared" si="4"/>
        <v>0</v>
      </c>
      <c r="H41" s="44"/>
      <c r="K41" s="22"/>
      <c r="L41" s="27"/>
      <c r="M41" s="27"/>
      <c r="N41" s="7" t="str">
        <f>_xlfn.IFNA(VLOOKUP(K41,Päästökertoimet!$P$25:$Q$28,2,FALSE),"-")</f>
        <v>-</v>
      </c>
      <c r="O41" s="23">
        <f t="shared" si="5"/>
        <v>0</v>
      </c>
    </row>
    <row r="42" spans="2:15" x14ac:dyDescent="0.25">
      <c r="B42" s="22"/>
      <c r="C42" s="27"/>
      <c r="D42" s="27"/>
      <c r="E42" s="7" t="str">
        <f>_xlfn.IFNA(VLOOKUP(B42,Päästökertoimet!$P$25:$Q$28,2,FALSE),"-")</f>
        <v>-</v>
      </c>
      <c r="F42" s="23">
        <f t="shared" si="4"/>
        <v>0</v>
      </c>
      <c r="H42" s="44"/>
      <c r="K42" s="22"/>
      <c r="L42" s="27"/>
      <c r="M42" s="27"/>
      <c r="N42" s="7" t="str">
        <f>_xlfn.IFNA(VLOOKUP(K42,Päästökertoimet!$P$25:$Q$28,2,FALSE),"-")</f>
        <v>-</v>
      </c>
      <c r="O42" s="23">
        <f t="shared" si="5"/>
        <v>0</v>
      </c>
    </row>
    <row r="43" spans="2:15" x14ac:dyDescent="0.25">
      <c r="B43" s="22"/>
      <c r="C43" s="27"/>
      <c r="D43" s="27"/>
      <c r="E43" s="7" t="str">
        <f>_xlfn.IFNA(VLOOKUP(B43,Päästökertoimet!$P$25:$Q$28,2,FALSE),"-")</f>
        <v>-</v>
      </c>
      <c r="F43" s="23">
        <f t="shared" si="4"/>
        <v>0</v>
      </c>
      <c r="H43" s="44"/>
      <c r="K43" s="22"/>
      <c r="L43" s="27"/>
      <c r="M43" s="27"/>
      <c r="N43" s="7" t="str">
        <f>_xlfn.IFNA(VLOOKUP(K43,Päästökertoimet!$P$25:$Q$28,2,FALSE),"-")</f>
        <v>-</v>
      </c>
      <c r="O43" s="23">
        <f t="shared" si="5"/>
        <v>0</v>
      </c>
    </row>
    <row r="44" spans="2:15" x14ac:dyDescent="0.25">
      <c r="B44" s="112"/>
      <c r="C44" s="113"/>
      <c r="D44" s="113"/>
      <c r="E44" s="113"/>
      <c r="F44" s="23">
        <f t="shared" si="4"/>
        <v>0</v>
      </c>
      <c r="H44" s="44"/>
      <c r="K44" s="112"/>
      <c r="L44" s="113"/>
      <c r="M44" s="113"/>
      <c r="N44" s="113"/>
      <c r="O44" s="23">
        <f t="shared" si="5"/>
        <v>0</v>
      </c>
    </row>
    <row r="45" spans="2:15" ht="15.75" thickBot="1" x14ac:dyDescent="0.3">
      <c r="B45" s="114"/>
      <c r="C45" s="115"/>
      <c r="D45" s="115"/>
      <c r="E45" s="115"/>
      <c r="F45" s="24">
        <f t="shared" si="4"/>
        <v>0</v>
      </c>
      <c r="H45" s="44"/>
      <c r="K45" s="114"/>
      <c r="L45" s="115"/>
      <c r="M45" s="115"/>
      <c r="N45" s="115"/>
      <c r="O45" s="24">
        <f t="shared" si="5"/>
        <v>0</v>
      </c>
    </row>
    <row r="46" spans="2:15" x14ac:dyDescent="0.25">
      <c r="H46" s="44"/>
      <c r="K46" s="2"/>
      <c r="L46" s="2"/>
      <c r="M46" s="2"/>
      <c r="N46" s="2"/>
    </row>
    <row r="47" spans="2:15" ht="16.5" thickBot="1" x14ac:dyDescent="0.3">
      <c r="B47" s="142" t="s">
        <v>340</v>
      </c>
      <c r="C47" s="142"/>
      <c r="D47" s="142"/>
      <c r="E47" s="142"/>
      <c r="F47" s="142"/>
      <c r="H47" s="44"/>
      <c r="K47" s="142" t="s">
        <v>340</v>
      </c>
      <c r="L47" s="142"/>
      <c r="M47" s="142"/>
      <c r="N47" s="142"/>
      <c r="O47" s="142"/>
    </row>
    <row r="48" spans="2:15" ht="18" x14ac:dyDescent="0.35">
      <c r="B48" s="11" t="s">
        <v>332</v>
      </c>
      <c r="C48" s="61" t="s">
        <v>333</v>
      </c>
      <c r="D48" s="11" t="s">
        <v>334</v>
      </c>
      <c r="E48" s="61" t="s">
        <v>1166</v>
      </c>
      <c r="F48" s="61" t="s">
        <v>60</v>
      </c>
      <c r="H48" s="44"/>
      <c r="K48" s="11" t="s">
        <v>332</v>
      </c>
      <c r="L48" s="61" t="s">
        <v>333</v>
      </c>
      <c r="M48" s="11" t="s">
        <v>334</v>
      </c>
      <c r="N48" s="61" t="s">
        <v>1166</v>
      </c>
      <c r="O48" s="61" t="s">
        <v>60</v>
      </c>
    </row>
    <row r="49" spans="2:15" x14ac:dyDescent="0.25">
      <c r="B49" s="22"/>
      <c r="C49" s="34"/>
      <c r="D49" s="27"/>
      <c r="E49" s="7" t="str">
        <f>_xlfn.IFNA(VLOOKUP(B49,Päästökertoimet!$P$31:$Q$31,2,FALSE),"-")</f>
        <v>-</v>
      </c>
      <c r="F49" s="23">
        <f t="shared" ref="F49:F58" si="6">IF(C49&gt;0,E49*C49,0)</f>
        <v>0</v>
      </c>
      <c r="H49" s="44"/>
      <c r="K49" s="22"/>
      <c r="L49" s="34"/>
      <c r="M49" s="27"/>
      <c r="N49" s="7" t="str">
        <f>_xlfn.IFNA(VLOOKUP(K49,Päästökertoimet!$P$31:$Q$31,2,FALSE),"-")</f>
        <v>-</v>
      </c>
      <c r="O49" s="23">
        <f t="shared" ref="O49:O58" si="7">IF(L49&gt;0,N49*L49,0)</f>
        <v>0</v>
      </c>
    </row>
    <row r="50" spans="2:15" x14ac:dyDescent="0.25">
      <c r="B50" s="22"/>
      <c r="C50" s="27"/>
      <c r="D50" s="27"/>
      <c r="E50" s="7" t="str">
        <f>_xlfn.IFNA(VLOOKUP(B50,Päästökertoimet!$P$31:$Q$31,2,FALSE),"-")</f>
        <v>-</v>
      </c>
      <c r="F50" s="23">
        <f t="shared" si="6"/>
        <v>0</v>
      </c>
      <c r="H50" s="44"/>
      <c r="K50" s="22"/>
      <c r="L50" s="27"/>
      <c r="M50" s="27"/>
      <c r="N50" s="7" t="str">
        <f>_xlfn.IFNA(VLOOKUP(K50,Päästökertoimet!$P$31:$Q$31,2,FALSE),"-")</f>
        <v>-</v>
      </c>
      <c r="O50" s="23">
        <f t="shared" si="7"/>
        <v>0</v>
      </c>
    </row>
    <row r="51" spans="2:15" x14ac:dyDescent="0.25">
      <c r="B51" s="22"/>
      <c r="C51" s="27"/>
      <c r="D51" s="27"/>
      <c r="E51" s="7" t="str">
        <f>_xlfn.IFNA(VLOOKUP(B51,Päästökertoimet!$P$31:$Q$31,2,FALSE),"-")</f>
        <v>-</v>
      </c>
      <c r="F51" s="23">
        <f t="shared" si="6"/>
        <v>0</v>
      </c>
      <c r="H51" s="44"/>
      <c r="K51" s="22"/>
      <c r="L51" s="27"/>
      <c r="M51" s="27"/>
      <c r="N51" s="7" t="str">
        <f>_xlfn.IFNA(VLOOKUP(K51,Päästökertoimet!$P$31:$Q$31,2,FALSE),"-")</f>
        <v>-</v>
      </c>
      <c r="O51" s="23">
        <f t="shared" si="7"/>
        <v>0</v>
      </c>
    </row>
    <row r="52" spans="2:15" x14ac:dyDescent="0.25">
      <c r="B52" s="22"/>
      <c r="C52" s="27"/>
      <c r="D52" s="27"/>
      <c r="E52" s="7" t="str">
        <f>_xlfn.IFNA(VLOOKUP(B52,Päästökertoimet!$P$31:$Q$31,2,FALSE),"-")</f>
        <v>-</v>
      </c>
      <c r="F52" s="23">
        <f t="shared" si="6"/>
        <v>0</v>
      </c>
      <c r="H52" s="44"/>
      <c r="K52" s="22"/>
      <c r="L52" s="27"/>
      <c r="M52" s="27"/>
      <c r="N52" s="7" t="str">
        <f>_xlfn.IFNA(VLOOKUP(K52,Päästökertoimet!$P$31:$Q$31,2,FALSE),"-")</f>
        <v>-</v>
      </c>
      <c r="O52" s="23">
        <f t="shared" si="7"/>
        <v>0</v>
      </c>
    </row>
    <row r="53" spans="2:15" x14ac:dyDescent="0.25">
      <c r="B53" s="22"/>
      <c r="C53" s="27"/>
      <c r="D53" s="27"/>
      <c r="E53" s="7" t="str">
        <f>_xlfn.IFNA(VLOOKUP(B53,Päästökertoimet!$P$31:$Q$31,2,FALSE),"-")</f>
        <v>-</v>
      </c>
      <c r="F53" s="23">
        <f t="shared" si="6"/>
        <v>0</v>
      </c>
      <c r="H53" s="44"/>
      <c r="K53" s="22"/>
      <c r="L53" s="27"/>
      <c r="M53" s="27"/>
      <c r="N53" s="7" t="str">
        <f>_xlfn.IFNA(VLOOKUP(K53,Päästökertoimet!$P$31:$Q$31,2,FALSE),"-")</f>
        <v>-</v>
      </c>
      <c r="O53" s="23">
        <f t="shared" si="7"/>
        <v>0</v>
      </c>
    </row>
    <row r="54" spans="2:15" x14ac:dyDescent="0.25">
      <c r="B54" s="22"/>
      <c r="C54" s="27"/>
      <c r="D54" s="27"/>
      <c r="E54" s="7" t="str">
        <f>_xlfn.IFNA(VLOOKUP(B54,Päästökertoimet!$P$31:$Q$31,2,FALSE),"-")</f>
        <v>-</v>
      </c>
      <c r="F54" s="23">
        <f t="shared" si="6"/>
        <v>0</v>
      </c>
      <c r="H54" s="44"/>
      <c r="K54" s="22"/>
      <c r="L54" s="27"/>
      <c r="M54" s="27"/>
      <c r="N54" s="7" t="str">
        <f>_xlfn.IFNA(VLOOKUP(K54,Päästökertoimet!$P$31:$Q$31,2,FALSE),"-")</f>
        <v>-</v>
      </c>
      <c r="O54" s="23">
        <f t="shared" si="7"/>
        <v>0</v>
      </c>
    </row>
    <row r="55" spans="2:15" x14ac:dyDescent="0.25">
      <c r="B55" s="22"/>
      <c r="C55" s="27"/>
      <c r="D55" s="27"/>
      <c r="E55" s="7" t="str">
        <f>_xlfn.IFNA(VLOOKUP(B55,Päästökertoimet!$P$31:$Q$31,2,FALSE),"-")</f>
        <v>-</v>
      </c>
      <c r="F55" s="23">
        <f t="shared" si="6"/>
        <v>0</v>
      </c>
      <c r="H55" s="44"/>
      <c r="K55" s="22"/>
      <c r="L55" s="27"/>
      <c r="M55" s="27"/>
      <c r="N55" s="7" t="str">
        <f>_xlfn.IFNA(VLOOKUP(K55,Päästökertoimet!$P$31:$Q$31,2,FALSE),"-")</f>
        <v>-</v>
      </c>
      <c r="O55" s="23">
        <f t="shared" si="7"/>
        <v>0</v>
      </c>
    </row>
    <row r="56" spans="2:15" x14ac:dyDescent="0.25">
      <c r="B56" s="22"/>
      <c r="C56" s="27"/>
      <c r="D56" s="27"/>
      <c r="E56" s="7" t="str">
        <f>_xlfn.IFNA(VLOOKUP(B56,Päästökertoimet!$P$31:$Q$31,2,FALSE),"-")</f>
        <v>-</v>
      </c>
      <c r="F56" s="23">
        <f t="shared" si="6"/>
        <v>0</v>
      </c>
      <c r="H56" s="44"/>
      <c r="K56" s="22"/>
      <c r="L56" s="27"/>
      <c r="M56" s="27"/>
      <c r="N56" s="7" t="str">
        <f>_xlfn.IFNA(VLOOKUP(K56,Päästökertoimet!$P$31:$Q$31,2,FALSE),"-")</f>
        <v>-</v>
      </c>
      <c r="O56" s="23">
        <f t="shared" si="7"/>
        <v>0</v>
      </c>
    </row>
    <row r="57" spans="2:15" x14ac:dyDescent="0.25">
      <c r="B57" s="112"/>
      <c r="C57" s="113"/>
      <c r="D57" s="113"/>
      <c r="E57" s="113"/>
      <c r="F57" s="23">
        <f t="shared" si="6"/>
        <v>0</v>
      </c>
      <c r="H57" s="44"/>
      <c r="K57" s="112"/>
      <c r="L57" s="113"/>
      <c r="M57" s="113"/>
      <c r="N57" s="113"/>
      <c r="O57" s="23">
        <f t="shared" si="7"/>
        <v>0</v>
      </c>
    </row>
    <row r="58" spans="2:15" ht="15.75" thickBot="1" x14ac:dyDescent="0.3">
      <c r="B58" s="114"/>
      <c r="C58" s="115"/>
      <c r="D58" s="115"/>
      <c r="E58" s="115"/>
      <c r="F58" s="24">
        <f t="shared" si="6"/>
        <v>0</v>
      </c>
      <c r="H58" s="44"/>
      <c r="K58" s="114"/>
      <c r="L58" s="115"/>
      <c r="M58" s="115"/>
      <c r="N58" s="115"/>
      <c r="O58" s="24">
        <f t="shared" si="7"/>
        <v>0</v>
      </c>
    </row>
    <row r="59" spans="2:15" x14ac:dyDescent="0.25">
      <c r="I59" s="107"/>
    </row>
    <row r="60" spans="2:15" x14ac:dyDescent="0.25">
      <c r="I60" s="107"/>
    </row>
    <row r="61" spans="2:15" ht="16.5" thickBot="1" x14ac:dyDescent="0.3">
      <c r="B61" s="142" t="s">
        <v>1133</v>
      </c>
      <c r="C61" s="142"/>
      <c r="D61" s="142"/>
      <c r="E61" s="142"/>
      <c r="F61" s="142"/>
      <c r="I61" s="107"/>
      <c r="N61" s="36"/>
    </row>
    <row r="62" spans="2:15" ht="18" x14ac:dyDescent="0.35">
      <c r="B62" s="11" t="s">
        <v>1138</v>
      </c>
      <c r="C62" s="61" t="s">
        <v>1134</v>
      </c>
      <c r="D62" s="11" t="s">
        <v>1135</v>
      </c>
      <c r="E62" s="61" t="s">
        <v>1136</v>
      </c>
      <c r="F62" s="61" t="s">
        <v>1137</v>
      </c>
      <c r="G62" s="61" t="s">
        <v>60</v>
      </c>
      <c r="I62" s="107"/>
    </row>
    <row r="63" spans="2:15" x14ac:dyDescent="0.25">
      <c r="B63" s="22"/>
      <c r="C63" s="34"/>
      <c r="D63" s="27"/>
      <c r="E63" s="100" t="str">
        <f>_xlfn.IFNA(VLOOKUP(B63,Päästökertoimet!$AA$134:$AC$157,2,FALSE),"-")</f>
        <v>-</v>
      </c>
      <c r="F63" s="100" t="str">
        <f>_xlfn.IFNA(VLOOKUP(B63,Päästökertoimet!$AA$134:$AC$157,3,FALSE),"-")</f>
        <v>-</v>
      </c>
      <c r="G63" s="23">
        <f>IFERROR(C63*E63,0)+IFERROR(D63*F63,0)</f>
        <v>0</v>
      </c>
      <c r="I63" s="107"/>
    </row>
    <row r="64" spans="2:15" x14ac:dyDescent="0.25">
      <c r="B64" s="22"/>
      <c r="C64" s="27"/>
      <c r="D64" s="27"/>
      <c r="E64" s="100" t="str">
        <f>_xlfn.IFNA(VLOOKUP(B64,Päästökertoimet!$AA$134:$AC$157,2,FALSE),"-")</f>
        <v>-</v>
      </c>
      <c r="F64" s="100" t="str">
        <f>_xlfn.IFNA(VLOOKUP(B64,Päästökertoimet!$AA$134:$AC$157,3,FALSE),"-")</f>
        <v>-</v>
      </c>
      <c r="G64" s="23">
        <f t="shared" ref="G64:G72" si="8">IFERROR(C64*E64,0)+IFERROR(D64*F64,0)</f>
        <v>0</v>
      </c>
      <c r="I64" s="107"/>
    </row>
    <row r="65" spans="2:9" x14ac:dyDescent="0.25">
      <c r="B65" s="22"/>
      <c r="C65" s="27"/>
      <c r="D65" s="27"/>
      <c r="E65" s="100" t="str">
        <f>_xlfn.IFNA(VLOOKUP(B65,Päästökertoimet!$AA$134:$AC$157,2,FALSE),"-")</f>
        <v>-</v>
      </c>
      <c r="F65" s="100" t="str">
        <f>_xlfn.IFNA(VLOOKUP(B65,Päästökertoimet!$AA$134:$AC$157,3,FALSE),"-")</f>
        <v>-</v>
      </c>
      <c r="G65" s="23">
        <f t="shared" si="8"/>
        <v>0</v>
      </c>
      <c r="I65" s="107"/>
    </row>
    <row r="66" spans="2:9" x14ac:dyDescent="0.25">
      <c r="B66" s="22"/>
      <c r="C66" s="27"/>
      <c r="D66" s="27"/>
      <c r="E66" s="100" t="str">
        <f>_xlfn.IFNA(VLOOKUP(B66,Päästökertoimet!$AA$134:$AC$157,2,FALSE),"-")</f>
        <v>-</v>
      </c>
      <c r="F66" s="100" t="str">
        <f>_xlfn.IFNA(VLOOKUP(B66,Päästökertoimet!$AA$134:$AC$157,3,FALSE),"-")</f>
        <v>-</v>
      </c>
      <c r="G66" s="23">
        <f t="shared" si="8"/>
        <v>0</v>
      </c>
      <c r="I66" s="107"/>
    </row>
    <row r="67" spans="2:9" x14ac:dyDescent="0.25">
      <c r="B67" s="22"/>
      <c r="C67" s="27"/>
      <c r="D67" s="27"/>
      <c r="E67" s="100" t="str">
        <f>_xlfn.IFNA(VLOOKUP(B67,Päästökertoimet!$AA$134:$AC$157,2,FALSE),"-")</f>
        <v>-</v>
      </c>
      <c r="F67" s="100" t="str">
        <f>_xlfn.IFNA(VLOOKUP(B67,Päästökertoimet!$AA$134:$AC$157,3,FALSE),"-")</f>
        <v>-</v>
      </c>
      <c r="G67" s="23">
        <f t="shared" si="8"/>
        <v>0</v>
      </c>
      <c r="I67" s="107"/>
    </row>
    <row r="68" spans="2:9" x14ac:dyDescent="0.25">
      <c r="B68" s="22"/>
      <c r="C68" s="27"/>
      <c r="D68" s="27"/>
      <c r="E68" s="100" t="str">
        <f>_xlfn.IFNA(VLOOKUP(B68,Päästökertoimet!$AA$134:$AC$157,2,FALSE),"-")</f>
        <v>-</v>
      </c>
      <c r="F68" s="100" t="str">
        <f>_xlfn.IFNA(VLOOKUP(B68,Päästökertoimet!$AA$134:$AC$157,3,FALSE),"-")</f>
        <v>-</v>
      </c>
      <c r="G68" s="23">
        <f t="shared" si="8"/>
        <v>0</v>
      </c>
      <c r="I68" s="107"/>
    </row>
    <row r="69" spans="2:9" x14ac:dyDescent="0.25">
      <c r="B69" s="22"/>
      <c r="C69" s="27"/>
      <c r="D69" s="27"/>
      <c r="E69" s="100" t="str">
        <f>_xlfn.IFNA(VLOOKUP(B69,Päästökertoimet!$AA$134:$AC$157,2,FALSE),"-")</f>
        <v>-</v>
      </c>
      <c r="F69" s="100" t="str">
        <f>_xlfn.IFNA(VLOOKUP(B69,Päästökertoimet!$AA$134:$AC$157,3,FALSE),"-")</f>
        <v>-</v>
      </c>
      <c r="G69" s="23">
        <f t="shared" si="8"/>
        <v>0</v>
      </c>
      <c r="I69" s="107"/>
    </row>
    <row r="70" spans="2:9" x14ac:dyDescent="0.25">
      <c r="B70" s="22"/>
      <c r="C70" s="27"/>
      <c r="D70" s="27"/>
      <c r="E70" s="100" t="str">
        <f>_xlfn.IFNA(VLOOKUP(B70,Päästökertoimet!$AA$134:$AC$157,2,FALSE),"-")</f>
        <v>-</v>
      </c>
      <c r="F70" s="100" t="str">
        <f>_xlfn.IFNA(VLOOKUP(B70,Päästökertoimet!$AA$134:$AC$157,3,FALSE),"-")</f>
        <v>-</v>
      </c>
      <c r="G70" s="23">
        <f t="shared" si="8"/>
        <v>0</v>
      </c>
      <c r="I70" s="107"/>
    </row>
    <row r="71" spans="2:9" x14ac:dyDescent="0.25">
      <c r="B71" s="112"/>
      <c r="C71" s="113"/>
      <c r="D71" s="113"/>
      <c r="E71" s="113"/>
      <c r="F71" s="100" t="str">
        <f>_xlfn.IFNA(VLOOKUP(B71,Päästökertoimet!$AA$134:$AC$157,3,FALSE),"-")</f>
        <v>-</v>
      </c>
      <c r="G71" s="23">
        <f t="shared" si="8"/>
        <v>0</v>
      </c>
      <c r="I71" s="107"/>
    </row>
    <row r="72" spans="2:9" ht="15.75" thickBot="1" x14ac:dyDescent="0.3">
      <c r="B72" s="114"/>
      <c r="C72" s="115"/>
      <c r="D72" s="115"/>
      <c r="E72" s="115"/>
      <c r="F72" s="101" t="str">
        <f>_xlfn.IFNA(VLOOKUP(B72,Päästökertoimet!$AA$134:$AC$157,3,FALSE),"-")</f>
        <v>-</v>
      </c>
      <c r="G72" s="24">
        <f t="shared" si="8"/>
        <v>0</v>
      </c>
      <c r="I72" s="107"/>
    </row>
    <row r="73" spans="2:9" x14ac:dyDescent="0.25">
      <c r="I73" s="107"/>
    </row>
    <row r="74" spans="2:9" x14ac:dyDescent="0.25">
      <c r="I74" s="107"/>
    </row>
    <row r="75" spans="2:9" ht="16.5" thickBot="1" x14ac:dyDescent="0.3">
      <c r="B75" s="142" t="s">
        <v>1139</v>
      </c>
      <c r="C75" s="142"/>
      <c r="D75" s="142"/>
      <c r="E75" s="142"/>
      <c r="F75" s="142"/>
      <c r="I75" s="107"/>
    </row>
    <row r="76" spans="2:9" ht="18" x14ac:dyDescent="0.35">
      <c r="B76" s="11" t="s">
        <v>1138</v>
      </c>
      <c r="C76" s="61" t="s">
        <v>1134</v>
      </c>
      <c r="D76" s="11" t="s">
        <v>1135</v>
      </c>
      <c r="E76" s="61" t="s">
        <v>1136</v>
      </c>
      <c r="F76" s="61" t="s">
        <v>1137</v>
      </c>
      <c r="G76" s="61" t="s">
        <v>60</v>
      </c>
      <c r="I76" s="107"/>
    </row>
    <row r="77" spans="2:9" x14ac:dyDescent="0.25">
      <c r="B77" s="22"/>
      <c r="C77" s="34"/>
      <c r="D77" s="27"/>
      <c r="E77" s="100" t="str">
        <f>_xlfn.IFNA(VLOOKUP(B77,Päästökertoimet!$AA$161:$AC$199,2,FALSE),"-")</f>
        <v>-</v>
      </c>
      <c r="F77" s="100" t="str">
        <f>_xlfn.IFNA(VLOOKUP(B77,Päästökertoimet!$AA$161:$AC$199,3,FALSE),"-")</f>
        <v>-</v>
      </c>
      <c r="G77" s="23">
        <f>IFERROR(C77*E77,0)+IFERROR(D77*F77,0)</f>
        <v>0</v>
      </c>
      <c r="I77" s="107"/>
    </row>
    <row r="78" spans="2:9" x14ac:dyDescent="0.25">
      <c r="B78" s="22"/>
      <c r="C78" s="27"/>
      <c r="D78" s="27"/>
      <c r="E78" s="100" t="str">
        <f>_xlfn.IFNA(VLOOKUP(B78,Päästökertoimet!$AA$161:$AC$199,2,FALSE),"-")</f>
        <v>-</v>
      </c>
      <c r="F78" s="100" t="str">
        <f>_xlfn.IFNA(VLOOKUP(B78,Päästökertoimet!$AA$161:$AC$199,3,FALSE),"-")</f>
        <v>-</v>
      </c>
      <c r="G78" s="23">
        <f t="shared" ref="G78:G86" si="9">IFERROR(C78*E78,0)+IFERROR(D78*F78,0)</f>
        <v>0</v>
      </c>
      <c r="I78" s="107"/>
    </row>
    <row r="79" spans="2:9" x14ac:dyDescent="0.25">
      <c r="B79" s="22"/>
      <c r="C79" s="27"/>
      <c r="D79" s="27"/>
      <c r="E79" s="100" t="str">
        <f>_xlfn.IFNA(VLOOKUP(B79,Päästökertoimet!$AA$161:$AC$199,2,FALSE),"-")</f>
        <v>-</v>
      </c>
      <c r="F79" s="100" t="str">
        <f>_xlfn.IFNA(VLOOKUP(B79,Päästökertoimet!$AA$161:$AC$199,3,FALSE),"-")</f>
        <v>-</v>
      </c>
      <c r="G79" s="23">
        <f t="shared" si="9"/>
        <v>0</v>
      </c>
      <c r="I79" s="107"/>
    </row>
    <row r="80" spans="2:9" x14ac:dyDescent="0.25">
      <c r="B80" s="22"/>
      <c r="C80" s="27"/>
      <c r="D80" s="27"/>
      <c r="E80" s="100" t="str">
        <f>_xlfn.IFNA(VLOOKUP(B80,Päästökertoimet!$AA$161:$AC$199,2,FALSE),"-")</f>
        <v>-</v>
      </c>
      <c r="F80" s="100" t="str">
        <f>_xlfn.IFNA(VLOOKUP(B80,Päästökertoimet!$AA$161:$AC$199,3,FALSE),"-")</f>
        <v>-</v>
      </c>
      <c r="G80" s="23">
        <f t="shared" si="9"/>
        <v>0</v>
      </c>
      <c r="I80" s="107"/>
    </row>
    <row r="81" spans="2:9" x14ac:dyDescent="0.25">
      <c r="B81" s="22"/>
      <c r="C81" s="27"/>
      <c r="D81" s="27"/>
      <c r="E81" s="100" t="str">
        <f>_xlfn.IFNA(VLOOKUP(B81,Päästökertoimet!$AA$161:$AC$199,2,FALSE),"-")</f>
        <v>-</v>
      </c>
      <c r="F81" s="100" t="str">
        <f>_xlfn.IFNA(VLOOKUP(B81,Päästökertoimet!$AA$161:$AC$199,3,FALSE),"-")</f>
        <v>-</v>
      </c>
      <c r="G81" s="23">
        <f t="shared" si="9"/>
        <v>0</v>
      </c>
      <c r="I81" s="107"/>
    </row>
    <row r="82" spans="2:9" x14ac:dyDescent="0.25">
      <c r="B82" s="22"/>
      <c r="C82" s="27"/>
      <c r="D82" s="27"/>
      <c r="E82" s="100" t="str">
        <f>_xlfn.IFNA(VLOOKUP(B82,Päästökertoimet!$AA$161:$AC$199,2,FALSE),"-")</f>
        <v>-</v>
      </c>
      <c r="F82" s="100" t="str">
        <f>_xlfn.IFNA(VLOOKUP(B82,Päästökertoimet!$AA$161:$AC$199,3,FALSE),"-")</f>
        <v>-</v>
      </c>
      <c r="G82" s="23">
        <f t="shared" si="9"/>
        <v>0</v>
      </c>
      <c r="I82" s="107"/>
    </row>
    <row r="83" spans="2:9" x14ac:dyDescent="0.25">
      <c r="B83" s="22"/>
      <c r="C83" s="27"/>
      <c r="D83" s="27"/>
      <c r="E83" s="100" t="str">
        <f>_xlfn.IFNA(VLOOKUP(B83,Päästökertoimet!$AA$161:$AC$199,2,FALSE),"-")</f>
        <v>-</v>
      </c>
      <c r="F83" s="100" t="str">
        <f>_xlfn.IFNA(VLOOKUP(B83,Päästökertoimet!$AA$161:$AC$199,3,FALSE),"-")</f>
        <v>-</v>
      </c>
      <c r="G83" s="23">
        <f t="shared" si="9"/>
        <v>0</v>
      </c>
      <c r="I83" s="107"/>
    </row>
    <row r="84" spans="2:9" x14ac:dyDescent="0.25">
      <c r="B84" s="22"/>
      <c r="C84" s="27"/>
      <c r="D84" s="27"/>
      <c r="E84" s="100" t="str">
        <f>_xlfn.IFNA(VLOOKUP(B84,Päästökertoimet!$AA$161:$AC$199,2,FALSE),"-")</f>
        <v>-</v>
      </c>
      <c r="F84" s="100" t="str">
        <f>_xlfn.IFNA(VLOOKUP(B84,Päästökertoimet!$AA$161:$AC$199,3,FALSE),"-")</f>
        <v>-</v>
      </c>
      <c r="G84" s="23">
        <f t="shared" si="9"/>
        <v>0</v>
      </c>
      <c r="I84" s="107"/>
    </row>
    <row r="85" spans="2:9" x14ac:dyDescent="0.25">
      <c r="B85" s="112"/>
      <c r="C85" s="113"/>
      <c r="D85" s="113"/>
      <c r="E85" s="113"/>
      <c r="F85" s="100" t="str">
        <f>_xlfn.IFNA(VLOOKUP(B85,Päästökertoimet!$AA$161:$AC$199,3,FALSE),"-")</f>
        <v>-</v>
      </c>
      <c r="G85" s="23">
        <f t="shared" si="9"/>
        <v>0</v>
      </c>
      <c r="I85" s="107"/>
    </row>
    <row r="86" spans="2:9" ht="15.75" thickBot="1" x14ac:dyDescent="0.3">
      <c r="B86" s="114"/>
      <c r="C86" s="115"/>
      <c r="D86" s="115"/>
      <c r="E86" s="115"/>
      <c r="F86" s="101" t="str">
        <f>_xlfn.IFNA(VLOOKUP(B86,Päästökertoimet!$AA$161:$AC$199,3,FALSE),"-")</f>
        <v>-</v>
      </c>
      <c r="G86" s="24">
        <f t="shared" si="9"/>
        <v>0</v>
      </c>
      <c r="I86" s="107"/>
    </row>
    <row r="87" spans="2:9" x14ac:dyDescent="0.25">
      <c r="I87" s="107"/>
    </row>
    <row r="88" spans="2:9" x14ac:dyDescent="0.25">
      <c r="I88" s="107"/>
    </row>
    <row r="89" spans="2:9" x14ac:dyDescent="0.25">
      <c r="I89" s="107"/>
    </row>
    <row r="90" spans="2:9" ht="16.5" thickBot="1" x14ac:dyDescent="0.3">
      <c r="B90" s="142" t="s">
        <v>1140</v>
      </c>
      <c r="C90" s="142"/>
      <c r="D90" s="142"/>
      <c r="E90" s="142"/>
      <c r="F90" s="142"/>
      <c r="I90" s="107"/>
    </row>
    <row r="91" spans="2:9" ht="18" x14ac:dyDescent="0.35">
      <c r="B91" s="11" t="s">
        <v>1138</v>
      </c>
      <c r="C91" s="61" t="s">
        <v>1134</v>
      </c>
      <c r="D91" s="11" t="s">
        <v>1135</v>
      </c>
      <c r="E91" s="61" t="s">
        <v>1136</v>
      </c>
      <c r="F91" s="61" t="s">
        <v>1137</v>
      </c>
      <c r="G91" s="61" t="s">
        <v>60</v>
      </c>
      <c r="I91" s="107"/>
    </row>
    <row r="92" spans="2:9" x14ac:dyDescent="0.25">
      <c r="B92" s="22"/>
      <c r="C92" s="34"/>
      <c r="D92" s="27"/>
      <c r="E92" s="100" t="str">
        <f>_xlfn.IFNA(VLOOKUP(B92,Päästökertoimet!$AA$203:$AC$241,2,FALSE),"-")</f>
        <v>-</v>
      </c>
      <c r="F92" s="100" t="str">
        <f>_xlfn.IFNA(VLOOKUP(B92,Päästökertoimet!$AA$203:$AC$241,3,FALSE),"-")</f>
        <v>-</v>
      </c>
      <c r="G92" s="23">
        <f>IFERROR(C92*E92,0)+IFERROR(D92*F92,0)</f>
        <v>0</v>
      </c>
      <c r="I92" s="107"/>
    </row>
    <row r="93" spans="2:9" x14ac:dyDescent="0.25">
      <c r="B93" s="22"/>
      <c r="C93" s="27"/>
      <c r="D93" s="27"/>
      <c r="E93" s="100" t="str">
        <f>_xlfn.IFNA(VLOOKUP(B93,Päästökertoimet!$AA$203:$AC$241,2,FALSE),"-")</f>
        <v>-</v>
      </c>
      <c r="F93" s="100" t="str">
        <f>_xlfn.IFNA(VLOOKUP(B93,Päästökertoimet!$AA$203:$AC$241,3,FALSE),"-")</f>
        <v>-</v>
      </c>
      <c r="G93" s="23">
        <f t="shared" ref="G93:G101" si="10">IFERROR(C93*E93,0)+IFERROR(D93*F93,0)</f>
        <v>0</v>
      </c>
      <c r="I93" s="107"/>
    </row>
    <row r="94" spans="2:9" x14ac:dyDescent="0.25">
      <c r="B94" s="22"/>
      <c r="C94" s="27"/>
      <c r="D94" s="27"/>
      <c r="E94" s="100" t="str">
        <f>_xlfn.IFNA(VLOOKUP(B94,Päästökertoimet!$AA$203:$AC$241,2,FALSE),"-")</f>
        <v>-</v>
      </c>
      <c r="F94" s="100" t="str">
        <f>_xlfn.IFNA(VLOOKUP(B94,Päästökertoimet!$AA$203:$AC$241,3,FALSE),"-")</f>
        <v>-</v>
      </c>
      <c r="G94" s="23">
        <f t="shared" si="10"/>
        <v>0</v>
      </c>
      <c r="I94" s="107"/>
    </row>
    <row r="95" spans="2:9" x14ac:dyDescent="0.25">
      <c r="B95" s="22"/>
      <c r="C95" s="27"/>
      <c r="D95" s="27"/>
      <c r="E95" s="100" t="str">
        <f>_xlfn.IFNA(VLOOKUP(B95,Päästökertoimet!$AA$203:$AC$241,2,FALSE),"-")</f>
        <v>-</v>
      </c>
      <c r="F95" s="100" t="str">
        <f>_xlfn.IFNA(VLOOKUP(B95,Päästökertoimet!$AA$203:$AC$241,3,FALSE),"-")</f>
        <v>-</v>
      </c>
      <c r="G95" s="23">
        <f t="shared" si="10"/>
        <v>0</v>
      </c>
      <c r="I95" s="107"/>
    </row>
    <row r="96" spans="2:9" x14ac:dyDescent="0.25">
      <c r="B96" s="22"/>
      <c r="C96" s="27"/>
      <c r="D96" s="27"/>
      <c r="E96" s="100" t="str">
        <f>_xlfn.IFNA(VLOOKUP(B96,Päästökertoimet!$AA$203:$AC$241,2,FALSE),"-")</f>
        <v>-</v>
      </c>
      <c r="F96" s="100" t="str">
        <f>_xlfn.IFNA(VLOOKUP(B96,Päästökertoimet!$AA$203:$AC$241,3,FALSE),"-")</f>
        <v>-</v>
      </c>
      <c r="G96" s="23">
        <f t="shared" si="10"/>
        <v>0</v>
      </c>
      <c r="I96" s="107"/>
    </row>
    <row r="97" spans="2:9" x14ac:dyDescent="0.25">
      <c r="B97" s="22"/>
      <c r="C97" s="27"/>
      <c r="D97" s="27"/>
      <c r="E97" s="100" t="str">
        <f>_xlfn.IFNA(VLOOKUP(B97,Päästökertoimet!$AA$203:$AC$241,2,FALSE),"-")</f>
        <v>-</v>
      </c>
      <c r="F97" s="100" t="str">
        <f>_xlfn.IFNA(VLOOKUP(B97,Päästökertoimet!$AA$203:$AC$241,3,FALSE),"-")</f>
        <v>-</v>
      </c>
      <c r="G97" s="23">
        <f t="shared" si="10"/>
        <v>0</v>
      </c>
      <c r="I97" s="107"/>
    </row>
    <row r="98" spans="2:9" x14ac:dyDescent="0.25">
      <c r="B98" s="22"/>
      <c r="C98" s="27"/>
      <c r="D98" s="27"/>
      <c r="E98" s="100" t="str">
        <f>_xlfn.IFNA(VLOOKUP(B98,Päästökertoimet!$AA$203:$AC$241,2,FALSE),"-")</f>
        <v>-</v>
      </c>
      <c r="F98" s="100" t="str">
        <f>_xlfn.IFNA(VLOOKUP(B98,Päästökertoimet!$AA$203:$AC$241,3,FALSE),"-")</f>
        <v>-</v>
      </c>
      <c r="G98" s="23">
        <f t="shared" si="10"/>
        <v>0</v>
      </c>
      <c r="I98" s="107"/>
    </row>
    <row r="99" spans="2:9" x14ac:dyDescent="0.25">
      <c r="B99" s="22"/>
      <c r="C99" s="27"/>
      <c r="D99" s="27"/>
      <c r="E99" s="100" t="str">
        <f>_xlfn.IFNA(VLOOKUP(B99,Päästökertoimet!$AA$203:$AC$241,2,FALSE),"-")</f>
        <v>-</v>
      </c>
      <c r="F99" s="100" t="str">
        <f>_xlfn.IFNA(VLOOKUP(B99,Päästökertoimet!$AA$203:$AC$241,3,FALSE),"-")</f>
        <v>-</v>
      </c>
      <c r="G99" s="23">
        <f t="shared" si="10"/>
        <v>0</v>
      </c>
      <c r="I99" s="107"/>
    </row>
    <row r="100" spans="2:9" x14ac:dyDescent="0.25">
      <c r="B100" s="112"/>
      <c r="C100" s="113"/>
      <c r="D100" s="113"/>
      <c r="E100" s="113"/>
      <c r="F100" s="100" t="str">
        <f>_xlfn.IFNA(VLOOKUP(B100,Päästökertoimet!$AA$203:$AC$241,3,FALSE),"-")</f>
        <v>-</v>
      </c>
      <c r="G100" s="23">
        <f t="shared" si="10"/>
        <v>0</v>
      </c>
      <c r="I100" s="107"/>
    </row>
    <row r="101" spans="2:9" ht="15.75" thickBot="1" x14ac:dyDescent="0.3">
      <c r="B101" s="114"/>
      <c r="C101" s="115"/>
      <c r="D101" s="115"/>
      <c r="E101" s="115"/>
      <c r="F101" s="101" t="str">
        <f>_xlfn.IFNA(VLOOKUP(B101,Päästökertoimet!$AA$203:$AC$241,3,FALSE),"-")</f>
        <v>-</v>
      </c>
      <c r="G101" s="24">
        <f t="shared" si="10"/>
        <v>0</v>
      </c>
      <c r="I101" s="107"/>
    </row>
  </sheetData>
  <mergeCells count="17">
    <mergeCell ref="K47:O47"/>
    <mergeCell ref="K2:O2"/>
    <mergeCell ref="K3:O4"/>
    <mergeCell ref="K6:O6"/>
    <mergeCell ref="K8:O8"/>
    <mergeCell ref="K21:O21"/>
    <mergeCell ref="K34:O34"/>
    <mergeCell ref="B2:F2"/>
    <mergeCell ref="B47:F47"/>
    <mergeCell ref="B6:F6"/>
    <mergeCell ref="B21:F21"/>
    <mergeCell ref="B8:F8"/>
    <mergeCell ref="B61:F61"/>
    <mergeCell ref="B75:F75"/>
    <mergeCell ref="B90:F90"/>
    <mergeCell ref="B34:F34"/>
    <mergeCell ref="B3:F4"/>
  </mergeCell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A00-000000000000}">
          <x14:formula1>
            <xm:f>Päästökertoimet!$P$2:$P$13</xm:f>
          </x14:formula1>
          <xm:sqref>B10:B17 K10:K17</xm:sqref>
        </x14:dataValidation>
        <x14:dataValidation type="list" allowBlank="1" showInputMessage="1" showErrorMessage="1" xr:uid="{00000000-0002-0000-0A00-000001000000}">
          <x14:formula1>
            <xm:f>Päästökertoimet!$P$17:$P$20</xm:f>
          </x14:formula1>
          <xm:sqref>B23:B30 K23:K30</xm:sqref>
        </x14:dataValidation>
        <x14:dataValidation type="list" allowBlank="1" showInputMessage="1" showErrorMessage="1" xr:uid="{00000000-0002-0000-0A00-000002000000}">
          <x14:formula1>
            <xm:f>Päästökertoimet!$P$24:$P$28</xm:f>
          </x14:formula1>
          <xm:sqref>B36:B43 K36:K43</xm:sqref>
        </x14:dataValidation>
        <x14:dataValidation type="list" allowBlank="1" showInputMessage="1" showErrorMessage="1" xr:uid="{00000000-0002-0000-0A00-000003000000}">
          <x14:formula1>
            <xm:f>Päästökertoimet!$P$30:$P$31</xm:f>
          </x14:formula1>
          <xm:sqref>B49:B56 K49:K56</xm:sqref>
        </x14:dataValidation>
        <x14:dataValidation type="list" allowBlank="1" showInputMessage="1" showErrorMessage="1" xr:uid="{00000000-0002-0000-0A00-000004000000}">
          <x14:formula1>
            <xm:f>Päästökertoimet!$AA$134:$AA$157</xm:f>
          </x14:formula1>
          <xm:sqref>B63:B70</xm:sqref>
        </x14:dataValidation>
        <x14:dataValidation type="list" allowBlank="1" showInputMessage="1" showErrorMessage="1" xr:uid="{00000000-0002-0000-0A00-000005000000}">
          <x14:formula1>
            <xm:f>Päästökertoimet!$AA$160:$AA$199</xm:f>
          </x14:formula1>
          <xm:sqref>B77:B84</xm:sqref>
        </x14:dataValidation>
        <x14:dataValidation type="list" allowBlank="1" showInputMessage="1" showErrorMessage="1" xr:uid="{00000000-0002-0000-0A00-000006000000}">
          <x14:formula1>
            <xm:f>Päästökertoimet!$AA$202:$AA$241</xm:f>
          </x14:formula1>
          <xm:sqref>B92:B99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B2:M44"/>
  <sheetViews>
    <sheetView zoomScaleNormal="100" workbookViewId="0"/>
  </sheetViews>
  <sheetFormatPr defaultColWidth="8.7109375" defaultRowHeight="15" x14ac:dyDescent="0.25"/>
  <cols>
    <col min="1" max="1" width="8.7109375" style="1"/>
    <col min="2" max="2" width="32.42578125" style="2" bestFit="1" customWidth="1"/>
    <col min="3" max="3" width="16" style="2" bestFit="1" customWidth="1"/>
    <col min="4" max="4" width="24.28515625" style="2" bestFit="1" customWidth="1"/>
    <col min="5" max="5" width="15.28515625" style="2" bestFit="1" customWidth="1"/>
    <col min="6" max="6" width="8.7109375" style="1"/>
    <col min="7" max="7" width="8.7109375" style="44"/>
    <col min="8" max="8" width="8.7109375" style="9"/>
    <col min="9" max="9" width="8.7109375" style="1"/>
    <col min="10" max="10" width="22.7109375" style="2" customWidth="1"/>
    <col min="11" max="11" width="21.85546875" style="2" bestFit="1" customWidth="1"/>
    <col min="12" max="12" width="23.85546875" style="2" bestFit="1" customWidth="1"/>
    <col min="13" max="13" width="15.28515625" style="2" bestFit="1" customWidth="1"/>
    <col min="14" max="16384" width="8.7109375" style="1"/>
  </cols>
  <sheetData>
    <row r="2" spans="2:13" ht="15.75" x14ac:dyDescent="0.25">
      <c r="B2" s="136" t="s">
        <v>306</v>
      </c>
      <c r="C2" s="136"/>
      <c r="D2" s="136"/>
      <c r="E2" s="136"/>
      <c r="F2" s="49"/>
      <c r="G2" s="71"/>
      <c r="H2" s="54"/>
      <c r="J2" s="136" t="s">
        <v>306</v>
      </c>
      <c r="K2" s="136"/>
      <c r="L2" s="136"/>
      <c r="M2" s="136"/>
    </row>
    <row r="3" spans="2:13" ht="14.65" customHeight="1" x14ac:dyDescent="0.25">
      <c r="B3" s="135" t="s">
        <v>310</v>
      </c>
      <c r="C3" s="135"/>
      <c r="D3" s="135"/>
      <c r="E3" s="135"/>
      <c r="F3" s="46"/>
      <c r="G3" s="72"/>
      <c r="H3" s="73"/>
      <c r="J3" s="135" t="s">
        <v>480</v>
      </c>
      <c r="K3" s="135"/>
      <c r="L3" s="135"/>
      <c r="M3" s="135"/>
    </row>
    <row r="4" spans="2:13" ht="14.65" customHeight="1" x14ac:dyDescent="0.25">
      <c r="B4" s="135"/>
      <c r="C4" s="135"/>
      <c r="D4" s="135"/>
      <c r="E4" s="135"/>
      <c r="F4" s="46"/>
      <c r="G4" s="72"/>
      <c r="H4" s="73"/>
      <c r="J4" s="135"/>
      <c r="K4" s="135"/>
      <c r="L4" s="135"/>
      <c r="M4" s="135"/>
    </row>
    <row r="6" spans="2:13" ht="18.75" x14ac:dyDescent="0.3">
      <c r="D6" s="140" t="s">
        <v>75</v>
      </c>
      <c r="E6" s="140"/>
      <c r="F6" s="140"/>
      <c r="G6" s="140"/>
      <c r="H6" s="140"/>
      <c r="I6" s="140"/>
      <c r="J6" s="140"/>
      <c r="K6" s="140"/>
    </row>
    <row r="7" spans="2:13" ht="19.5" thickBot="1" x14ac:dyDescent="0.35">
      <c r="D7" s="78"/>
      <c r="E7" s="78"/>
      <c r="F7" s="78"/>
      <c r="G7" s="106"/>
      <c r="H7" s="78"/>
      <c r="I7" s="78"/>
      <c r="J7" s="78"/>
      <c r="K7" s="78"/>
    </row>
    <row r="8" spans="2:13" ht="19.5" thickBot="1" x14ac:dyDescent="0.4">
      <c r="B8" s="10" t="s">
        <v>280</v>
      </c>
      <c r="C8" s="10" t="s">
        <v>281</v>
      </c>
      <c r="D8" s="10" t="s">
        <v>282</v>
      </c>
      <c r="E8" s="10" t="s">
        <v>60</v>
      </c>
      <c r="J8" s="10" t="s">
        <v>283</v>
      </c>
      <c r="K8" s="10" t="s">
        <v>284</v>
      </c>
      <c r="L8" s="10" t="s">
        <v>58</v>
      </c>
      <c r="M8" s="10" t="s">
        <v>60</v>
      </c>
    </row>
    <row r="9" spans="2:13" ht="15.75" thickBot="1" x14ac:dyDescent="0.3">
      <c r="B9" s="38"/>
      <c r="C9" s="39"/>
      <c r="D9" s="39" t="str">
        <f>_xlfn.IFNA(VLOOKUP(B9,Päästökertoimet!H15:I16,2,FALSE),"-")</f>
        <v>-</v>
      </c>
      <c r="E9" s="24">
        <f>IF(C9&gt;0,D9*C9,0)</f>
        <v>0</v>
      </c>
      <c r="J9" s="14"/>
      <c r="K9" s="34"/>
      <c r="L9" s="7" t="str">
        <f>_xlfn.IFNA(VLOOKUP(J9,Päästökertoimet!$J$29:$K$37,2,FALSE),"-")</f>
        <v>-</v>
      </c>
      <c r="M9" s="23">
        <f>IF(K9&gt;0,L9*K9,0)</f>
        <v>0</v>
      </c>
    </row>
    <row r="10" spans="2:13" x14ac:dyDescent="0.25">
      <c r="B10"/>
      <c r="C10" s="5"/>
      <c r="D10" s="5"/>
      <c r="E10" s="37"/>
      <c r="J10" s="16"/>
      <c r="K10" s="27"/>
      <c r="L10" s="7" t="str">
        <f>_xlfn.IFNA(VLOOKUP(J10,Päästökertoimet!$J$29:$K$37,2,FALSE),"-")</f>
        <v>-</v>
      </c>
      <c r="M10" s="23">
        <f t="shared" ref="M10:M16" si="0">IF(K10&gt;0,L10*K10,0)</f>
        <v>0</v>
      </c>
    </row>
    <row r="11" spans="2:13" ht="15.75" thickBot="1" x14ac:dyDescent="0.3">
      <c r="J11" s="16"/>
      <c r="K11" s="27"/>
      <c r="L11" s="7" t="str">
        <f>_xlfn.IFNA(VLOOKUP(J11,Päästökertoimet!$J$29:$K$37,2,FALSE),"-")</f>
        <v>-</v>
      </c>
      <c r="M11" s="23">
        <f t="shared" si="0"/>
        <v>0</v>
      </c>
    </row>
    <row r="12" spans="2:13" ht="18.75" thickBot="1" x14ac:dyDescent="0.4">
      <c r="B12" s="10" t="s">
        <v>243</v>
      </c>
      <c r="C12" s="10" t="s">
        <v>265</v>
      </c>
      <c r="D12" s="10" t="s">
        <v>58</v>
      </c>
      <c r="E12" s="10" t="s">
        <v>60</v>
      </c>
      <c r="J12" s="16"/>
      <c r="K12" s="27"/>
      <c r="L12" s="7" t="str">
        <f>_xlfn.IFNA(VLOOKUP(J12,Päästökertoimet!$J$29:$K$37,2,FALSE),"-")</f>
        <v>-</v>
      </c>
      <c r="M12" s="23">
        <f t="shared" si="0"/>
        <v>0</v>
      </c>
    </row>
    <row r="13" spans="2:13" x14ac:dyDescent="0.25">
      <c r="B13" s="14"/>
      <c r="C13" s="35"/>
      <c r="D13" s="13" t="str">
        <f>_xlfn.IFNA(VLOOKUP(B13,Päästökertoimet!$H$2:$I$12,2,FALSE),"-")</f>
        <v>-</v>
      </c>
      <c r="E13" s="23">
        <f>IF(C13&gt;0,D13*C13,0)</f>
        <v>0</v>
      </c>
      <c r="J13" s="16"/>
      <c r="K13" s="27"/>
      <c r="L13" s="7" t="str">
        <f>_xlfn.IFNA(VLOOKUP(J13,Päästökertoimet!$J$29:$K$37,2,FALSE),"-")</f>
        <v>-</v>
      </c>
      <c r="M13" s="23">
        <f t="shared" si="0"/>
        <v>0</v>
      </c>
    </row>
    <row r="14" spans="2:13" x14ac:dyDescent="0.25">
      <c r="B14" s="16"/>
      <c r="C14" s="27"/>
      <c r="D14" s="7" t="str">
        <f>_xlfn.IFNA(VLOOKUP(B14,Päästökertoimet!$H$2:$I$12,2,FALSE),"-")</f>
        <v>-</v>
      </c>
      <c r="E14" s="23">
        <f t="shared" ref="E14:E22" si="1">IF(C14&gt;0,D14*C14,0)</f>
        <v>0</v>
      </c>
      <c r="J14" s="16"/>
      <c r="K14" s="27"/>
      <c r="L14" s="7" t="str">
        <f>_xlfn.IFNA(VLOOKUP(J14,Päästökertoimet!$J$29:$K$37,2,FALSE),"-")</f>
        <v>-</v>
      </c>
      <c r="M14" s="23">
        <f t="shared" si="0"/>
        <v>0</v>
      </c>
    </row>
    <row r="15" spans="2:13" x14ac:dyDescent="0.25">
      <c r="B15" s="16"/>
      <c r="C15" s="27"/>
      <c r="D15" s="7" t="str">
        <f>_xlfn.IFNA(VLOOKUP(B15,Päästökertoimet!$H$2:$I$12,2,FALSE),"-")</f>
        <v>-</v>
      </c>
      <c r="E15" s="23">
        <f t="shared" si="1"/>
        <v>0</v>
      </c>
      <c r="J15" s="112"/>
      <c r="K15" s="113"/>
      <c r="L15" s="113"/>
      <c r="M15" s="23">
        <f t="shared" si="0"/>
        <v>0</v>
      </c>
    </row>
    <row r="16" spans="2:13" ht="15.75" thickBot="1" x14ac:dyDescent="0.3">
      <c r="B16" s="16"/>
      <c r="C16" s="27"/>
      <c r="D16" s="7" t="str">
        <f>_xlfn.IFNA(VLOOKUP(B16,Päästökertoimet!$H$2:$I$12,2,FALSE),"-")</f>
        <v>-</v>
      </c>
      <c r="E16" s="23">
        <f t="shared" si="1"/>
        <v>0</v>
      </c>
      <c r="J16" s="114"/>
      <c r="K16" s="115"/>
      <c r="L16" s="115"/>
      <c r="M16" s="24">
        <f t="shared" si="0"/>
        <v>0</v>
      </c>
    </row>
    <row r="17" spans="2:13" x14ac:dyDescent="0.25">
      <c r="B17" s="16"/>
      <c r="C17" s="27"/>
      <c r="D17" s="7" t="str">
        <f>_xlfn.IFNA(VLOOKUP(B17,Päästökertoimet!$H$2:$I$12,2,FALSE),"-")</f>
        <v>-</v>
      </c>
      <c r="E17" s="23">
        <f t="shared" si="1"/>
        <v>0</v>
      </c>
    </row>
    <row r="18" spans="2:13" ht="15.75" thickBot="1" x14ac:dyDescent="0.3">
      <c r="B18" s="16"/>
      <c r="C18" s="27"/>
      <c r="D18" s="7" t="str">
        <f>_xlfn.IFNA(VLOOKUP(B18,Päästökertoimet!$H$2:$I$12,2,FALSE),"-")</f>
        <v>-</v>
      </c>
      <c r="E18" s="23">
        <f t="shared" si="1"/>
        <v>0</v>
      </c>
    </row>
    <row r="19" spans="2:13" ht="18.75" thickBot="1" x14ac:dyDescent="0.4">
      <c r="B19" s="16"/>
      <c r="C19" s="27"/>
      <c r="D19" s="7" t="str">
        <f>_xlfn.IFNA(VLOOKUP(B19,Päästökertoimet!$H$2:$I$12,2,FALSE),"-")</f>
        <v>-</v>
      </c>
      <c r="E19" s="23">
        <f t="shared" si="1"/>
        <v>0</v>
      </c>
      <c r="J19" s="10" t="s">
        <v>285</v>
      </c>
      <c r="K19" s="10" t="s">
        <v>284</v>
      </c>
      <c r="L19" s="10" t="s">
        <v>58</v>
      </c>
      <c r="M19" s="10" t="s">
        <v>60</v>
      </c>
    </row>
    <row r="20" spans="2:13" x14ac:dyDescent="0.25">
      <c r="B20" s="16"/>
      <c r="C20" s="27"/>
      <c r="D20" s="7" t="str">
        <f>_xlfn.IFNA(VLOOKUP(B20,Päästökertoimet!$H$2:$I$12,2,FALSE),"-")</f>
        <v>-</v>
      </c>
      <c r="E20" s="23">
        <f t="shared" si="1"/>
        <v>0</v>
      </c>
      <c r="J20" s="14"/>
      <c r="K20" s="34"/>
      <c r="L20" s="6" t="str">
        <f>_xlfn.IFNA(VLOOKUP(J20,Päästökertoimet!$M$29:$N$35,2,FALSE),"-")</f>
        <v>-</v>
      </c>
      <c r="M20" s="23">
        <f t="shared" ref="M20:M25" si="2">IF(K20&gt;0,L20*K20,0)</f>
        <v>0</v>
      </c>
    </row>
    <row r="21" spans="2:13" x14ac:dyDescent="0.25">
      <c r="B21" s="112"/>
      <c r="C21" s="113"/>
      <c r="D21" s="113"/>
      <c r="E21" s="23">
        <f t="shared" si="1"/>
        <v>0</v>
      </c>
      <c r="J21" s="16"/>
      <c r="K21" s="27"/>
      <c r="L21" s="6" t="str">
        <f>_xlfn.IFNA(VLOOKUP(J21,Päästökertoimet!$M$29:$N$35,2,FALSE),"-")</f>
        <v>-</v>
      </c>
      <c r="M21" s="23">
        <f t="shared" si="2"/>
        <v>0</v>
      </c>
    </row>
    <row r="22" spans="2:13" ht="15.75" thickBot="1" x14ac:dyDescent="0.3">
      <c r="B22" s="114"/>
      <c r="C22" s="115"/>
      <c r="D22" s="115"/>
      <c r="E22" s="24">
        <f t="shared" si="1"/>
        <v>0</v>
      </c>
      <c r="J22" s="16"/>
      <c r="K22" s="27"/>
      <c r="L22" s="6" t="str">
        <f>_xlfn.IFNA(VLOOKUP(J22,Päästökertoimet!$M$29:$N$35,2,FALSE),"-")</f>
        <v>-</v>
      </c>
      <c r="M22" s="23">
        <f t="shared" si="2"/>
        <v>0</v>
      </c>
    </row>
    <row r="23" spans="2:13" x14ac:dyDescent="0.25">
      <c r="J23" s="16"/>
      <c r="K23" s="27"/>
      <c r="L23" s="6" t="str">
        <f>_xlfn.IFNA(VLOOKUP(J23,Päästökertoimet!$M$29:$N$35,2,FALSE),"-")</f>
        <v>-</v>
      </c>
      <c r="M23" s="23">
        <f t="shared" si="2"/>
        <v>0</v>
      </c>
    </row>
    <row r="24" spans="2:13" ht="15.75" thickBot="1" x14ac:dyDescent="0.3">
      <c r="J24" s="112"/>
      <c r="K24" s="113"/>
      <c r="L24" s="113"/>
      <c r="M24" s="23">
        <f t="shared" si="2"/>
        <v>0</v>
      </c>
    </row>
    <row r="25" spans="2:13" ht="18.75" thickBot="1" x14ac:dyDescent="0.4">
      <c r="B25" s="10" t="s">
        <v>244</v>
      </c>
      <c r="C25" s="10" t="s">
        <v>265</v>
      </c>
      <c r="D25" s="10" t="s">
        <v>58</v>
      </c>
      <c r="E25" s="10" t="s">
        <v>60</v>
      </c>
      <c r="J25" s="114"/>
      <c r="K25" s="115"/>
      <c r="L25" s="115"/>
      <c r="M25" s="24">
        <f t="shared" si="2"/>
        <v>0</v>
      </c>
    </row>
    <row r="26" spans="2:13" x14ac:dyDescent="0.25">
      <c r="B26" s="14"/>
      <c r="C26" s="35"/>
      <c r="D26" s="13" t="str">
        <f>_xlfn.IFNA(VLOOKUP(B26,Päästökertoimet!$K$2:$L$13,2,FALSE),"-")</f>
        <v>-</v>
      </c>
      <c r="E26" s="23">
        <f>IF(C26&gt;0,D26*C26,0)</f>
        <v>0</v>
      </c>
    </row>
    <row r="27" spans="2:13" ht="15.75" thickBot="1" x14ac:dyDescent="0.3">
      <c r="B27" s="16"/>
      <c r="C27" s="27"/>
      <c r="D27" s="7" t="str">
        <f>_xlfn.IFNA(VLOOKUP(B27,Päästökertoimet!$K$2:$L$13,2,FALSE),"-")</f>
        <v>-</v>
      </c>
      <c r="E27" s="23">
        <f t="shared" ref="E27:E35" si="3">IF(C27&gt;0,D27*C27,0)</f>
        <v>0</v>
      </c>
    </row>
    <row r="28" spans="2:13" ht="18.75" thickBot="1" x14ac:dyDescent="0.4">
      <c r="B28" s="16"/>
      <c r="C28" s="27"/>
      <c r="D28" s="7" t="str">
        <f>_xlfn.IFNA(VLOOKUP(B28,Päästökertoimet!$K$2:$L$13,2,FALSE),"-")</f>
        <v>-</v>
      </c>
      <c r="E28" s="23">
        <f t="shared" si="3"/>
        <v>0</v>
      </c>
      <c r="J28" s="10" t="s">
        <v>286</v>
      </c>
      <c r="K28" s="10" t="s">
        <v>284</v>
      </c>
      <c r="L28" s="10" t="s">
        <v>58</v>
      </c>
      <c r="M28" s="10" t="s">
        <v>60</v>
      </c>
    </row>
    <row r="29" spans="2:13" x14ac:dyDescent="0.25">
      <c r="B29" s="16"/>
      <c r="C29" s="27"/>
      <c r="D29" s="7" t="str">
        <f>_xlfn.IFNA(VLOOKUP(B29,Päästökertoimet!$K$2:$L$13,2,FALSE),"-")</f>
        <v>-</v>
      </c>
      <c r="E29" s="23">
        <f t="shared" si="3"/>
        <v>0</v>
      </c>
      <c r="J29" s="14"/>
      <c r="K29" s="34"/>
      <c r="L29" s="6" t="str">
        <f>_xlfn.IFNA(VLOOKUP(J29,Päästökertoimet!$J$40:$K$46,2,FALSE),"-")</f>
        <v>-</v>
      </c>
      <c r="M29" s="23">
        <f t="shared" ref="M29:M34" si="4">IF(K29&gt;0,L29*K29,0)</f>
        <v>0</v>
      </c>
    </row>
    <row r="30" spans="2:13" x14ac:dyDescent="0.25">
      <c r="B30" s="16"/>
      <c r="C30" s="27"/>
      <c r="D30" s="7" t="str">
        <f>_xlfn.IFNA(VLOOKUP(B30,Päästökertoimet!$K$2:$L$13,2,FALSE),"-")</f>
        <v>-</v>
      </c>
      <c r="E30" s="23">
        <f t="shared" si="3"/>
        <v>0</v>
      </c>
      <c r="J30" s="16"/>
      <c r="K30" s="27"/>
      <c r="L30" s="6" t="str">
        <f>_xlfn.IFNA(VLOOKUP(J30,Päästökertoimet!$J$40:$K$46,2,FALSE),"-")</f>
        <v>-</v>
      </c>
      <c r="M30" s="23">
        <f t="shared" si="4"/>
        <v>0</v>
      </c>
    </row>
    <row r="31" spans="2:13" x14ac:dyDescent="0.25">
      <c r="B31" s="16"/>
      <c r="C31" s="27"/>
      <c r="D31" s="7" t="str">
        <f>_xlfn.IFNA(VLOOKUP(B31,Päästökertoimet!$K$2:$L$13,2,FALSE),"-")</f>
        <v>-</v>
      </c>
      <c r="E31" s="23">
        <f t="shared" si="3"/>
        <v>0</v>
      </c>
      <c r="J31" s="16"/>
      <c r="K31" s="27"/>
      <c r="L31" s="6" t="str">
        <f>_xlfn.IFNA(VLOOKUP(J31,Päästökertoimet!$J$40:$K$46,2,FALSE),"-")</f>
        <v>-</v>
      </c>
      <c r="M31" s="23">
        <f t="shared" si="4"/>
        <v>0</v>
      </c>
    </row>
    <row r="32" spans="2:13" x14ac:dyDescent="0.25">
      <c r="B32" s="16"/>
      <c r="C32" s="27"/>
      <c r="D32" s="7" t="str">
        <f>_xlfn.IFNA(VLOOKUP(B32,Päästökertoimet!$K$2:$L$13,2,FALSE),"-")</f>
        <v>-</v>
      </c>
      <c r="E32" s="23">
        <f t="shared" si="3"/>
        <v>0</v>
      </c>
      <c r="J32" s="16"/>
      <c r="K32" s="27"/>
      <c r="L32" s="6" t="str">
        <f>_xlfn.IFNA(VLOOKUP(J32,Päästökertoimet!$J$40:$K$46,2,FALSE),"-")</f>
        <v>-</v>
      </c>
      <c r="M32" s="23">
        <f t="shared" si="4"/>
        <v>0</v>
      </c>
    </row>
    <row r="33" spans="2:13" x14ac:dyDescent="0.25">
      <c r="B33" s="16"/>
      <c r="C33" s="27"/>
      <c r="D33" s="7" t="str">
        <f>_xlfn.IFNA(VLOOKUP(B33,Päästökertoimet!$K$2:$L$13,2,FALSE),"-")</f>
        <v>-</v>
      </c>
      <c r="E33" s="23">
        <f t="shared" si="3"/>
        <v>0</v>
      </c>
      <c r="J33" s="112"/>
      <c r="K33" s="113"/>
      <c r="L33" s="113"/>
      <c r="M33" s="23">
        <f t="shared" si="4"/>
        <v>0</v>
      </c>
    </row>
    <row r="34" spans="2:13" ht="15.75" thickBot="1" x14ac:dyDescent="0.3">
      <c r="B34" s="112"/>
      <c r="C34" s="113"/>
      <c r="D34" s="113"/>
      <c r="E34" s="23">
        <f t="shared" si="3"/>
        <v>0</v>
      </c>
      <c r="J34" s="114"/>
      <c r="K34" s="115"/>
      <c r="L34" s="115"/>
      <c r="M34" s="24">
        <f t="shared" si="4"/>
        <v>0</v>
      </c>
    </row>
    <row r="35" spans="2:13" ht="15.75" thickBot="1" x14ac:dyDescent="0.3">
      <c r="B35" s="114"/>
      <c r="C35" s="115"/>
      <c r="D35" s="115"/>
      <c r="E35" s="24">
        <f t="shared" si="3"/>
        <v>0</v>
      </c>
    </row>
    <row r="36" spans="2:13" ht="15.75" thickBot="1" x14ac:dyDescent="0.3"/>
    <row r="37" spans="2:13" ht="18.75" thickBot="1" x14ac:dyDescent="0.4">
      <c r="J37" s="10" t="s">
        <v>287</v>
      </c>
      <c r="K37" s="10" t="s">
        <v>284</v>
      </c>
      <c r="L37" s="10" t="s">
        <v>58</v>
      </c>
      <c r="M37" s="10" t="s">
        <v>60</v>
      </c>
    </row>
    <row r="38" spans="2:13" x14ac:dyDescent="0.25">
      <c r="J38" s="14"/>
      <c r="K38" s="34"/>
      <c r="L38" s="6" t="str">
        <f>_xlfn.IFNA(VLOOKUP(J38,Päästökertoimet!$M$38:$N$44,2,FALSE),"-")</f>
        <v>-</v>
      </c>
      <c r="M38" s="23">
        <f t="shared" ref="M38:M43" si="5">IF(K38&gt;0,L38*K38,0)</f>
        <v>0</v>
      </c>
    </row>
    <row r="39" spans="2:13" x14ac:dyDescent="0.25">
      <c r="J39" s="16"/>
      <c r="K39" s="27"/>
      <c r="L39" s="6" t="str">
        <f>_xlfn.IFNA(VLOOKUP(J39,Päästökertoimet!$M$38:$N$44,2,FALSE),"-")</f>
        <v>-</v>
      </c>
      <c r="M39" s="23">
        <f t="shared" si="5"/>
        <v>0</v>
      </c>
    </row>
    <row r="40" spans="2:13" x14ac:dyDescent="0.25">
      <c r="J40" s="16"/>
      <c r="K40" s="27"/>
      <c r="L40" s="6" t="str">
        <f>_xlfn.IFNA(VLOOKUP(J40,Päästökertoimet!$M$38:$N$44,2,FALSE),"-")</f>
        <v>-</v>
      </c>
      <c r="M40" s="23">
        <f t="shared" si="5"/>
        <v>0</v>
      </c>
    </row>
    <row r="41" spans="2:13" x14ac:dyDescent="0.25">
      <c r="J41" s="16"/>
      <c r="K41" s="27"/>
      <c r="L41" s="6" t="str">
        <f>_xlfn.IFNA(VLOOKUP(J41,Päästökertoimet!$M$38:$N$44,2,FALSE),"-")</f>
        <v>-</v>
      </c>
      <c r="M41" s="23">
        <f t="shared" si="5"/>
        <v>0</v>
      </c>
    </row>
    <row r="42" spans="2:13" x14ac:dyDescent="0.25">
      <c r="J42" s="112"/>
      <c r="K42" s="113"/>
      <c r="L42" s="113"/>
      <c r="M42" s="23">
        <f t="shared" si="5"/>
        <v>0</v>
      </c>
    </row>
    <row r="43" spans="2:13" ht="15.75" thickBot="1" x14ac:dyDescent="0.3">
      <c r="J43" s="114"/>
      <c r="K43" s="115"/>
      <c r="L43" s="115"/>
      <c r="M43" s="24">
        <f t="shared" si="5"/>
        <v>0</v>
      </c>
    </row>
    <row r="44" spans="2:13" x14ac:dyDescent="0.25">
      <c r="L44" s="5"/>
    </row>
  </sheetData>
  <mergeCells count="5">
    <mergeCell ref="D6:K6"/>
    <mergeCell ref="B3:E4"/>
    <mergeCell ref="B2:E2"/>
    <mergeCell ref="J2:M2"/>
    <mergeCell ref="J3:M4"/>
  </mergeCells>
  <pageMargins left="0.7" right="0.7" top="0.75" bottom="0.75" header="0.3" footer="0.3"/>
  <extLst>
    <ext xmlns:x14="http://schemas.microsoft.com/office/spreadsheetml/2009/9/main" uri="{CCE6A557-97BC-4b89-ADB6-D9C93CAAB3DF}">
      <x14:dataValidations xmlns:xm="http://schemas.microsoft.com/office/excel/2006/main" count="7">
        <x14:dataValidation type="list" showInputMessage="1" showErrorMessage="1" xr:uid="{00000000-0002-0000-0B00-000000000000}">
          <x14:formula1>
            <xm:f>Päästökertoimet!$H$2:$H$12</xm:f>
          </x14:formula1>
          <xm:sqref>B13:B20</xm:sqref>
        </x14:dataValidation>
        <x14:dataValidation type="list" showInputMessage="1" showErrorMessage="1" xr:uid="{00000000-0002-0000-0B00-000001000000}">
          <x14:formula1>
            <xm:f>Päästökertoimet!$H$15:$H$16</xm:f>
          </x14:formula1>
          <xm:sqref>B9</xm:sqref>
        </x14:dataValidation>
        <x14:dataValidation type="list" showInputMessage="1" showErrorMessage="1" xr:uid="{00000000-0002-0000-0B00-000002000000}">
          <x14:formula1>
            <xm:f>Päästökertoimet!$J$29:$J$37</xm:f>
          </x14:formula1>
          <xm:sqref>J9:J14</xm:sqref>
        </x14:dataValidation>
        <x14:dataValidation type="list" showInputMessage="1" showErrorMessage="1" xr:uid="{00000000-0002-0000-0B00-000003000000}">
          <x14:formula1>
            <xm:f>Päästökertoimet!$M$29:$M$35</xm:f>
          </x14:formula1>
          <xm:sqref>J20:J23</xm:sqref>
        </x14:dataValidation>
        <x14:dataValidation type="list" showInputMessage="1" showErrorMessage="1" xr:uid="{00000000-0002-0000-0B00-000004000000}">
          <x14:formula1>
            <xm:f>Päästökertoimet!$J$40:$J$46</xm:f>
          </x14:formula1>
          <xm:sqref>J29</xm:sqref>
        </x14:dataValidation>
        <x14:dataValidation type="list" showInputMessage="1" showErrorMessage="1" xr:uid="{00000000-0002-0000-0B00-000005000000}">
          <x14:formula1>
            <xm:f>Päästökertoimet!$M$38:$M$44</xm:f>
          </x14:formula1>
          <xm:sqref>J38</xm:sqref>
        </x14:dataValidation>
        <x14:dataValidation type="list" showInputMessage="1" showErrorMessage="1" xr:uid="{00000000-0002-0000-0B00-000006000000}">
          <x14:formula1>
            <xm:f>Päästökertoimet!$K$2:$K$13</xm:f>
          </x14:formula1>
          <xm:sqref>B26:B33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B2:M45"/>
  <sheetViews>
    <sheetView zoomScaleNormal="100" workbookViewId="0"/>
  </sheetViews>
  <sheetFormatPr defaultColWidth="8.7109375" defaultRowHeight="15" x14ac:dyDescent="0.25"/>
  <cols>
    <col min="1" max="1" width="8.7109375" style="1"/>
    <col min="2" max="2" width="29.42578125" style="1" bestFit="1" customWidth="1"/>
    <col min="3" max="3" width="25.85546875" style="1" bestFit="1" customWidth="1"/>
    <col min="4" max="4" width="23.85546875" style="1" bestFit="1" customWidth="1"/>
    <col min="5" max="5" width="22.42578125" style="1" bestFit="1" customWidth="1"/>
    <col min="6" max="6" width="15.28515625" style="1" bestFit="1" customWidth="1"/>
    <col min="7" max="8" width="8.7109375" style="1"/>
    <col min="9" max="9" width="29.42578125" style="1" bestFit="1" customWidth="1"/>
    <col min="10" max="10" width="25.85546875" style="1" bestFit="1" customWidth="1"/>
    <col min="11" max="11" width="23.85546875" style="1" bestFit="1" customWidth="1"/>
    <col min="12" max="12" width="22.42578125" style="1" bestFit="1" customWidth="1"/>
    <col min="13" max="13" width="14.5703125" style="1" bestFit="1" customWidth="1"/>
    <col min="14" max="16384" width="8.7109375" style="1"/>
  </cols>
  <sheetData>
    <row r="2" spans="2:13" ht="15.75" x14ac:dyDescent="0.25">
      <c r="B2" s="136" t="s">
        <v>306</v>
      </c>
      <c r="C2" s="136"/>
      <c r="D2" s="136"/>
      <c r="E2" s="136"/>
      <c r="F2" s="136"/>
      <c r="G2" s="44"/>
      <c r="I2" s="136" t="s">
        <v>306</v>
      </c>
      <c r="J2" s="136"/>
      <c r="K2" s="136"/>
      <c r="L2" s="136"/>
      <c r="M2" s="136"/>
    </row>
    <row r="3" spans="2:13" x14ac:dyDescent="0.25">
      <c r="B3" s="135" t="s">
        <v>1145</v>
      </c>
      <c r="C3" s="135"/>
      <c r="D3" s="135"/>
      <c r="E3" s="135"/>
      <c r="F3" s="135"/>
      <c r="G3" s="44"/>
      <c r="I3" s="135" t="s">
        <v>817</v>
      </c>
      <c r="J3" s="135"/>
      <c r="K3" s="135"/>
      <c r="L3" s="135"/>
      <c r="M3" s="135"/>
    </row>
    <row r="4" spans="2:13" x14ac:dyDescent="0.25">
      <c r="B4" s="135"/>
      <c r="C4" s="135"/>
      <c r="D4" s="135"/>
      <c r="E4" s="135"/>
      <c r="F4" s="135"/>
      <c r="G4" s="44"/>
      <c r="I4" s="135"/>
      <c r="J4" s="135"/>
      <c r="K4" s="135"/>
      <c r="L4" s="135"/>
      <c r="M4" s="135"/>
    </row>
    <row r="5" spans="2:13" x14ac:dyDescent="0.25">
      <c r="G5" s="44"/>
    </row>
    <row r="6" spans="2:13" x14ac:dyDescent="0.25">
      <c r="G6" s="44"/>
    </row>
    <row r="7" spans="2:13" ht="18.75" x14ac:dyDescent="0.3">
      <c r="B7" s="140" t="s">
        <v>78</v>
      </c>
      <c r="C7" s="140"/>
      <c r="D7" s="140"/>
      <c r="E7" s="140"/>
      <c r="F7" s="140"/>
      <c r="G7" s="44"/>
      <c r="I7" s="140" t="s">
        <v>83</v>
      </c>
      <c r="J7" s="140"/>
      <c r="K7" s="140"/>
      <c r="L7" s="140"/>
      <c r="M7" s="140"/>
    </row>
    <row r="8" spans="2:13" x14ac:dyDescent="0.25">
      <c r="G8" s="44"/>
    </row>
    <row r="9" spans="2:13" ht="15.75" thickBot="1" x14ac:dyDescent="0.3">
      <c r="G9" s="44"/>
    </row>
    <row r="10" spans="2:13" ht="18.75" thickBot="1" x14ac:dyDescent="0.4">
      <c r="B10" s="10" t="s">
        <v>110</v>
      </c>
      <c r="C10" s="10" t="s">
        <v>292</v>
      </c>
      <c r="D10" s="11" t="s">
        <v>293</v>
      </c>
      <c r="E10" s="10" t="s">
        <v>107</v>
      </c>
      <c r="F10" s="12" t="s">
        <v>60</v>
      </c>
      <c r="G10" s="44"/>
      <c r="I10" s="10" t="s">
        <v>110</v>
      </c>
      <c r="J10" s="10" t="s">
        <v>292</v>
      </c>
      <c r="K10" s="11" t="s">
        <v>293</v>
      </c>
      <c r="L10" s="10" t="s">
        <v>107</v>
      </c>
      <c r="M10" s="12" t="s">
        <v>60</v>
      </c>
    </row>
    <row r="11" spans="2:13" x14ac:dyDescent="0.25">
      <c r="B11" s="14"/>
      <c r="C11" s="42"/>
      <c r="D11" s="27"/>
      <c r="E11" s="5" t="str" cm="1">
        <f t="array" ref="E11">_xlfn.IFNA(INDEX(Päästökertoimet!$L$50:$L$69,MATCH(B11&amp;C11,Päästökertoimet!$J$50:$J$69&amp;Päästökertoimet!$K$50:$K$69,0)),"-")</f>
        <v>-</v>
      </c>
      <c r="F11" s="122">
        <f>IFERROR(D11*E11,0)</f>
        <v>0</v>
      </c>
      <c r="G11" s="44"/>
      <c r="I11" s="14"/>
      <c r="J11" s="42"/>
      <c r="K11" s="27"/>
      <c r="L11" s="5" t="str" cm="1">
        <f t="array" ref="L11">_xlfn.IFNA(INDEX(Päästökertoimet!$L$50:$L$69,MATCH(I11&amp;J11,Päästökertoimet!$J$50:$J$69&amp;Päästökertoimet!$K$50:$K$69,0)),"-")</f>
        <v>-</v>
      </c>
      <c r="M11" s="122">
        <f>IFERROR(K11*L11,0)</f>
        <v>0</v>
      </c>
    </row>
    <row r="12" spans="2:13" x14ac:dyDescent="0.25">
      <c r="B12" s="16"/>
      <c r="C12" s="43"/>
      <c r="D12" s="27"/>
      <c r="E12" s="5" t="str" cm="1">
        <f t="array" ref="E12">_xlfn.IFNA(INDEX(Päästökertoimet!$L$50:$L$69,MATCH(B12&amp;C12,Päästökertoimet!$J$50:$J$69&amp;Päästökertoimet!$K$50:$K$69,0)),"-")</f>
        <v>-</v>
      </c>
      <c r="F12" s="15">
        <f t="shared" ref="F12:F17" si="0">IFERROR(D12*E12,0)</f>
        <v>0</v>
      </c>
      <c r="G12" s="44"/>
      <c r="I12" s="16"/>
      <c r="J12" s="43"/>
      <c r="K12" s="27"/>
      <c r="L12" s="5" t="str" cm="1">
        <f t="array" ref="L12">_xlfn.IFNA(INDEX(Päästökertoimet!$L$50:$L$69,MATCH(I12&amp;J12,Päästökertoimet!$J$50:$J$69&amp;Päästökertoimet!$K$50:$K$69,0)),"-")</f>
        <v>-</v>
      </c>
      <c r="M12" s="15">
        <f t="shared" ref="M12:M17" si="1">IFERROR(K12*L12,0)</f>
        <v>0</v>
      </c>
    </row>
    <row r="13" spans="2:13" x14ac:dyDescent="0.25">
      <c r="B13" s="16"/>
      <c r="C13" s="43"/>
      <c r="D13" s="27"/>
      <c r="E13" s="5" t="str" cm="1">
        <f t="array" ref="E13">_xlfn.IFNA(INDEX(Päästökertoimet!$L$50:$L$69,MATCH(B13&amp;C13,Päästökertoimet!$J$50:$J$69&amp;Päästökertoimet!$K$50:$K$69,0)),"-")</f>
        <v>-</v>
      </c>
      <c r="F13" s="15">
        <f t="shared" si="0"/>
        <v>0</v>
      </c>
      <c r="G13" s="44"/>
      <c r="I13" s="16"/>
      <c r="J13" s="43"/>
      <c r="K13" s="27"/>
      <c r="L13" s="5" t="str" cm="1">
        <f t="array" ref="L13">_xlfn.IFNA(INDEX(Päästökertoimet!$L$50:$L$69,MATCH(I13&amp;J13,Päästökertoimet!$J$50:$J$69&amp;Päästökertoimet!$K$50:$K$69,0)),"-")</f>
        <v>-</v>
      </c>
      <c r="M13" s="15">
        <f t="shared" si="1"/>
        <v>0</v>
      </c>
    </row>
    <row r="14" spans="2:13" x14ac:dyDescent="0.25">
      <c r="B14" s="16"/>
      <c r="C14" s="43"/>
      <c r="D14" s="27"/>
      <c r="E14" s="5" t="str" cm="1">
        <f t="array" ref="E14">_xlfn.IFNA(INDEX(Päästökertoimet!$L$50:$L$69,MATCH(B14&amp;C14,Päästökertoimet!$J$50:$J$69&amp;Päästökertoimet!$K$50:$K$69,0)),"-")</f>
        <v>-</v>
      </c>
      <c r="F14" s="15">
        <f t="shared" si="0"/>
        <v>0</v>
      </c>
      <c r="G14" s="44"/>
      <c r="I14" s="16"/>
      <c r="J14" s="43"/>
      <c r="K14" s="27"/>
      <c r="L14" s="5" t="str" cm="1">
        <f t="array" ref="L14">_xlfn.IFNA(INDEX(Päästökertoimet!$L$50:$L$69,MATCH(I14&amp;J14,Päästökertoimet!$J$50:$J$69&amp;Päästökertoimet!$K$50:$K$69,0)),"-")</f>
        <v>-</v>
      </c>
      <c r="M14" s="15">
        <f t="shared" si="1"/>
        <v>0</v>
      </c>
    </row>
    <row r="15" spans="2:13" x14ac:dyDescent="0.25">
      <c r="B15" s="16"/>
      <c r="C15" s="43"/>
      <c r="D15" s="27"/>
      <c r="E15" s="5" t="str" cm="1">
        <f t="array" ref="E15">_xlfn.IFNA(INDEX(Päästökertoimet!$L$50:$L$69,MATCH(B15&amp;C15,Päästökertoimet!$J$50:$J$69&amp;Päästökertoimet!$K$50:$K$69,0)),"-")</f>
        <v>-</v>
      </c>
      <c r="F15" s="15">
        <f t="shared" si="0"/>
        <v>0</v>
      </c>
      <c r="G15" s="44"/>
      <c r="I15" s="16"/>
      <c r="J15" s="43"/>
      <c r="K15" s="27"/>
      <c r="L15" s="5" t="str" cm="1">
        <f t="array" ref="L15">_xlfn.IFNA(INDEX(Päästökertoimet!$L$50:$L$69,MATCH(I15&amp;J15,Päästökertoimet!$J$50:$J$69&amp;Päästökertoimet!$K$50:$K$69,0)),"-")</f>
        <v>-</v>
      </c>
      <c r="M15" s="15">
        <f t="shared" si="1"/>
        <v>0</v>
      </c>
    </row>
    <row r="16" spans="2:13" x14ac:dyDescent="0.25">
      <c r="B16" s="112"/>
      <c r="C16" s="113"/>
      <c r="D16" s="113"/>
      <c r="E16" s="119"/>
      <c r="F16" s="15">
        <f t="shared" si="0"/>
        <v>0</v>
      </c>
      <c r="G16" s="44"/>
      <c r="I16" s="112"/>
      <c r="J16" s="113"/>
      <c r="K16" s="113"/>
      <c r="L16" s="119"/>
      <c r="M16" s="15">
        <f t="shared" si="1"/>
        <v>0</v>
      </c>
    </row>
    <row r="17" spans="2:13" ht="15.75" thickBot="1" x14ac:dyDescent="0.3">
      <c r="B17" s="114"/>
      <c r="C17" s="115"/>
      <c r="D17" s="115"/>
      <c r="E17" s="120"/>
      <c r="F17" s="18">
        <f t="shared" si="0"/>
        <v>0</v>
      </c>
      <c r="G17" s="44"/>
      <c r="I17" s="114"/>
      <c r="J17" s="115"/>
      <c r="K17" s="115"/>
      <c r="L17" s="120"/>
      <c r="M17" s="18">
        <f t="shared" si="1"/>
        <v>0</v>
      </c>
    </row>
    <row r="18" spans="2:13" x14ac:dyDescent="0.25">
      <c r="C18" s="2"/>
      <c r="D18" s="2"/>
      <c r="E18" s="2"/>
      <c r="F18" s="2"/>
      <c r="G18" s="44"/>
      <c r="J18" s="2"/>
      <c r="K18" s="2"/>
      <c r="L18" s="2"/>
      <c r="M18" s="2"/>
    </row>
    <row r="19" spans="2:13" ht="15.75" thickBot="1" x14ac:dyDescent="0.3">
      <c r="C19" s="2"/>
      <c r="D19" s="2"/>
      <c r="E19" s="2"/>
      <c r="F19" s="2"/>
      <c r="G19" s="44"/>
      <c r="J19" s="2"/>
      <c r="K19" s="2"/>
      <c r="L19" s="2"/>
      <c r="M19" s="2"/>
    </row>
    <row r="20" spans="2:13" ht="18.75" thickBot="1" x14ac:dyDescent="0.4">
      <c r="B20" s="11" t="s">
        <v>300</v>
      </c>
      <c r="C20" s="11" t="s">
        <v>301</v>
      </c>
      <c r="D20" s="10" t="s">
        <v>107</v>
      </c>
      <c r="E20" s="10" t="s">
        <v>60</v>
      </c>
      <c r="G20" s="44"/>
      <c r="I20" s="11" t="s">
        <v>300</v>
      </c>
      <c r="J20" s="11" t="s">
        <v>301</v>
      </c>
      <c r="K20" s="10" t="s">
        <v>107</v>
      </c>
      <c r="L20" s="10" t="s">
        <v>60</v>
      </c>
    </row>
    <row r="21" spans="2:13" x14ac:dyDescent="0.25">
      <c r="B21" s="16"/>
      <c r="C21" s="27"/>
      <c r="D21" s="5" t="str">
        <f>_xlfn.IFNA(VLOOKUP(B21,Päästökertoimet!$N$57:$O$62,2,FALSE),"-")</f>
        <v>-</v>
      </c>
      <c r="E21" s="122">
        <f t="shared" ref="E21:E26" si="2">IFERROR(C21*D21,0)</f>
        <v>0</v>
      </c>
      <c r="G21" s="44"/>
      <c r="I21" s="16"/>
      <c r="J21" s="27"/>
      <c r="K21" s="5" t="str">
        <f>_xlfn.IFNA(VLOOKUP(I21,Päästökertoimet!$N$57:$O$62,2,FALSE),"-")</f>
        <v>-</v>
      </c>
      <c r="L21" s="122">
        <f t="shared" ref="L21:L26" si="3">IFERROR(J21*K21,0)</f>
        <v>0</v>
      </c>
    </row>
    <row r="22" spans="2:13" x14ac:dyDescent="0.25">
      <c r="B22" s="16"/>
      <c r="C22" s="27"/>
      <c r="D22" s="5" t="str">
        <f>_xlfn.IFNA(VLOOKUP(B22,Päästökertoimet!$N$57:$O$62,2,FALSE),"-")</f>
        <v>-</v>
      </c>
      <c r="E22" s="15">
        <f t="shared" si="2"/>
        <v>0</v>
      </c>
      <c r="G22" s="44"/>
      <c r="I22" s="16"/>
      <c r="J22" s="27"/>
      <c r="K22" s="5" t="str">
        <f>_xlfn.IFNA(VLOOKUP(I22,Päästökertoimet!$N$57:$O$62,2,FALSE),"-")</f>
        <v>-</v>
      </c>
      <c r="L22" s="15">
        <f t="shared" si="3"/>
        <v>0</v>
      </c>
    </row>
    <row r="23" spans="2:13" x14ac:dyDescent="0.25">
      <c r="B23" s="16"/>
      <c r="C23" s="27"/>
      <c r="D23" s="5" t="str">
        <f>_xlfn.IFNA(VLOOKUP(B23,Päästökertoimet!$N$57:$O$62,2,FALSE),"-")</f>
        <v>-</v>
      </c>
      <c r="E23" s="15">
        <f t="shared" si="2"/>
        <v>0</v>
      </c>
      <c r="G23" s="44"/>
      <c r="I23" s="16"/>
      <c r="J23" s="27"/>
      <c r="K23" s="5" t="str">
        <f>_xlfn.IFNA(VLOOKUP(I23,Päästökertoimet!$N$57:$O$62,2,FALSE),"-")</f>
        <v>-</v>
      </c>
      <c r="L23" s="15">
        <f t="shared" si="3"/>
        <v>0</v>
      </c>
    </row>
    <row r="24" spans="2:13" x14ac:dyDescent="0.25">
      <c r="B24" s="16"/>
      <c r="C24" s="27"/>
      <c r="D24" s="5" t="str">
        <f>_xlfn.IFNA(VLOOKUP(B24,Päästökertoimet!$N$57:$O$62,2,FALSE),"-")</f>
        <v>-</v>
      </c>
      <c r="E24" s="15">
        <f t="shared" si="2"/>
        <v>0</v>
      </c>
      <c r="G24" s="44"/>
      <c r="I24" s="16"/>
      <c r="J24" s="27"/>
      <c r="K24" s="5" t="str">
        <f>_xlfn.IFNA(VLOOKUP(I24,Päästökertoimet!$N$57:$O$62,2,FALSE),"-")</f>
        <v>-</v>
      </c>
      <c r="L24" s="15">
        <f t="shared" si="3"/>
        <v>0</v>
      </c>
    </row>
    <row r="25" spans="2:13" x14ac:dyDescent="0.25">
      <c r="B25" s="112"/>
      <c r="C25" s="113"/>
      <c r="D25" s="113"/>
      <c r="E25" s="15">
        <f t="shared" si="2"/>
        <v>0</v>
      </c>
      <c r="G25" s="44"/>
      <c r="I25" s="112"/>
      <c r="J25" s="113"/>
      <c r="K25" s="119"/>
      <c r="L25" s="15">
        <f t="shared" si="3"/>
        <v>0</v>
      </c>
    </row>
    <row r="26" spans="2:13" ht="15.75" thickBot="1" x14ac:dyDescent="0.3">
      <c r="B26" s="114"/>
      <c r="C26" s="115"/>
      <c r="D26" s="120"/>
      <c r="E26" s="18">
        <f t="shared" si="2"/>
        <v>0</v>
      </c>
      <c r="G26" s="44"/>
      <c r="I26" s="114"/>
      <c r="J26" s="115"/>
      <c r="K26" s="120"/>
      <c r="L26" s="18">
        <f t="shared" si="3"/>
        <v>0</v>
      </c>
    </row>
    <row r="27" spans="2:13" x14ac:dyDescent="0.25">
      <c r="G27" s="44"/>
    </row>
    <row r="28" spans="2:13" x14ac:dyDescent="0.25">
      <c r="G28" s="44"/>
    </row>
    <row r="29" spans="2:13" ht="15.75" thickBot="1" x14ac:dyDescent="0.3">
      <c r="G29" s="44"/>
    </row>
    <row r="30" spans="2:13" ht="18.75" thickBot="1" x14ac:dyDescent="0.4">
      <c r="B30" s="10" t="s">
        <v>110</v>
      </c>
      <c r="C30" s="10" t="s">
        <v>111</v>
      </c>
      <c r="D30" s="10" t="s">
        <v>58</v>
      </c>
      <c r="E30" s="10" t="s">
        <v>60</v>
      </c>
      <c r="G30" s="44"/>
      <c r="I30" s="10" t="s">
        <v>110</v>
      </c>
      <c r="J30" s="10" t="s">
        <v>111</v>
      </c>
      <c r="K30" s="10" t="s">
        <v>58</v>
      </c>
      <c r="L30" s="10" t="s">
        <v>60</v>
      </c>
    </row>
    <row r="31" spans="2:13" x14ac:dyDescent="0.25">
      <c r="B31" s="14"/>
      <c r="C31" s="34"/>
      <c r="D31" s="13" t="str">
        <f>_xlfn.IFNA(VLOOKUP(B31,Päästökertoimet!$E$2:$F$6,2,FALSE),"-")</f>
        <v>-</v>
      </c>
      <c r="E31" s="23">
        <f>IF(C31&gt;0,D31*C31,0)</f>
        <v>0</v>
      </c>
      <c r="G31" s="44"/>
      <c r="I31" s="14"/>
      <c r="J31" s="34"/>
      <c r="K31" s="98" t="str">
        <f>_xlfn.IFNA(VLOOKUP(I31,Päästökertoimet!$E$2:$F$6,2,FALSE),"-")</f>
        <v>-</v>
      </c>
      <c r="L31" s="122">
        <f>IF(J31&gt;0,K31*J31,0)</f>
        <v>0</v>
      </c>
    </row>
    <row r="32" spans="2:13" x14ac:dyDescent="0.25">
      <c r="B32" s="16"/>
      <c r="C32" s="27"/>
      <c r="D32" s="96" t="str">
        <f>_xlfn.IFNA(VLOOKUP(B32,Päästökertoimet!$E$2:$F$6,2,FALSE),"-")</f>
        <v>-</v>
      </c>
      <c r="E32" s="15">
        <f t="shared" ref="E32:E36" si="4">IF(C32&gt;0,D32*C32,0)</f>
        <v>0</v>
      </c>
      <c r="G32" s="44"/>
      <c r="I32" s="16"/>
      <c r="J32" s="27"/>
      <c r="K32" s="96" t="str">
        <f>_xlfn.IFNA(VLOOKUP(I32,Päästökertoimet!$E$2:$F$6,2,FALSE),"-")</f>
        <v>-</v>
      </c>
      <c r="L32" s="15">
        <f t="shared" ref="L32:L36" si="5">IF(J32&gt;0,K32*J32,0)</f>
        <v>0</v>
      </c>
    </row>
    <row r="33" spans="2:12" x14ac:dyDescent="0.25">
      <c r="B33" s="16"/>
      <c r="C33" s="27"/>
      <c r="D33" s="96" t="str">
        <f>_xlfn.IFNA(VLOOKUP(B33,Päästökertoimet!$E$2:$F$6,2,FALSE),"-")</f>
        <v>-</v>
      </c>
      <c r="E33" s="15">
        <f t="shared" si="4"/>
        <v>0</v>
      </c>
      <c r="G33" s="44"/>
      <c r="I33" s="16"/>
      <c r="J33" s="27"/>
      <c r="K33" s="96" t="str">
        <f>_xlfn.IFNA(VLOOKUP(I33,Päästökertoimet!$E$2:$F$6,2,FALSE),"-")</f>
        <v>-</v>
      </c>
      <c r="L33" s="15">
        <f t="shared" si="5"/>
        <v>0</v>
      </c>
    </row>
    <row r="34" spans="2:12" x14ac:dyDescent="0.25">
      <c r="B34" s="16"/>
      <c r="C34" s="27"/>
      <c r="D34" s="96" t="str">
        <f>_xlfn.IFNA(VLOOKUP(B34,Päästökertoimet!$E$2:$F$6,2,FALSE),"-")</f>
        <v>-</v>
      </c>
      <c r="E34" s="15">
        <f t="shared" si="4"/>
        <v>0</v>
      </c>
      <c r="G34" s="44"/>
      <c r="I34" s="16"/>
      <c r="J34" s="27"/>
      <c r="K34" s="96" t="str">
        <f>_xlfn.IFNA(VLOOKUP(I34,Päästökertoimet!$E$2:$F$6,2,FALSE),"-")</f>
        <v>-</v>
      </c>
      <c r="L34" s="15">
        <f t="shared" si="5"/>
        <v>0</v>
      </c>
    </row>
    <row r="35" spans="2:12" x14ac:dyDescent="0.25">
      <c r="B35" s="112"/>
      <c r="C35" s="113"/>
      <c r="D35" s="119"/>
      <c r="E35" s="15">
        <f t="shared" si="4"/>
        <v>0</v>
      </c>
      <c r="G35" s="44"/>
      <c r="I35" s="112"/>
      <c r="J35" s="113"/>
      <c r="K35" s="119"/>
      <c r="L35" s="15">
        <f t="shared" si="5"/>
        <v>0</v>
      </c>
    </row>
    <row r="36" spans="2:12" ht="15.75" thickBot="1" x14ac:dyDescent="0.3">
      <c r="B36" s="114"/>
      <c r="C36" s="115"/>
      <c r="D36" s="120"/>
      <c r="E36" s="18">
        <f t="shared" si="4"/>
        <v>0</v>
      </c>
      <c r="G36" s="44"/>
      <c r="I36" s="114"/>
      <c r="J36" s="115"/>
      <c r="K36" s="120"/>
      <c r="L36" s="18">
        <f t="shared" si="5"/>
        <v>0</v>
      </c>
    </row>
    <row r="37" spans="2:12" x14ac:dyDescent="0.25">
      <c r="G37" s="44"/>
    </row>
    <row r="38" spans="2:12" ht="15.75" thickBot="1" x14ac:dyDescent="0.3">
      <c r="G38" s="44"/>
    </row>
    <row r="39" spans="2:12" ht="18.75" thickBot="1" x14ac:dyDescent="0.4">
      <c r="B39" s="10" t="s">
        <v>110</v>
      </c>
      <c r="C39" s="10" t="s">
        <v>236</v>
      </c>
      <c r="D39" s="10" t="s">
        <v>58</v>
      </c>
      <c r="E39" s="10" t="s">
        <v>60</v>
      </c>
      <c r="G39" s="44"/>
      <c r="I39" s="10" t="s">
        <v>110</v>
      </c>
      <c r="J39" s="10" t="s">
        <v>236</v>
      </c>
      <c r="K39" s="10" t="s">
        <v>58</v>
      </c>
      <c r="L39" s="10" t="s">
        <v>60</v>
      </c>
    </row>
    <row r="40" spans="2:12" x14ac:dyDescent="0.25">
      <c r="B40" s="14"/>
      <c r="C40" s="34"/>
      <c r="D40" s="96" t="str">
        <f>_xlfn.IFNA(VLOOKUP(B40,Päästökertoimet!$E$38:$F$41,2,FALSE),"-")</f>
        <v>-</v>
      </c>
      <c r="E40" s="122">
        <f t="shared" ref="E40:E45" si="6">IF(C40&gt;0,D40*C40,0)</f>
        <v>0</v>
      </c>
      <c r="G40" s="44"/>
      <c r="I40" s="14"/>
      <c r="J40" s="34"/>
      <c r="K40" s="96" t="str">
        <f>_xlfn.IFNA(VLOOKUP(I40,Päästökertoimet!$E$38:$F$41,2,FALSE),"-")</f>
        <v>-</v>
      </c>
      <c r="L40" s="122">
        <f t="shared" ref="L40:L45" si="7">IF(J40&gt;0,K40*J40,0)</f>
        <v>0</v>
      </c>
    </row>
    <row r="41" spans="2:12" x14ac:dyDescent="0.25">
      <c r="B41" s="16"/>
      <c r="C41" s="27"/>
      <c r="D41" s="96" t="str">
        <f>_xlfn.IFNA(VLOOKUP(B41,Päästökertoimet!$E$38:$F$41,2,FALSE),"-")</f>
        <v>-</v>
      </c>
      <c r="E41" s="15">
        <f t="shared" si="6"/>
        <v>0</v>
      </c>
      <c r="G41" s="44"/>
      <c r="I41" s="16"/>
      <c r="J41" s="27"/>
      <c r="K41" s="96" t="str">
        <f>_xlfn.IFNA(VLOOKUP(I41,Päästökertoimet!$E$38:$F$41,2,FALSE),"-")</f>
        <v>-</v>
      </c>
      <c r="L41" s="15">
        <f t="shared" si="7"/>
        <v>0</v>
      </c>
    </row>
    <row r="42" spans="2:12" x14ac:dyDescent="0.25">
      <c r="B42" s="16"/>
      <c r="C42" s="27"/>
      <c r="D42" s="96" t="str">
        <f>_xlfn.IFNA(VLOOKUP(B42,Päästökertoimet!$E$38:$F$41,2,FALSE),"-")</f>
        <v>-</v>
      </c>
      <c r="E42" s="15">
        <f t="shared" si="6"/>
        <v>0</v>
      </c>
      <c r="G42" s="44"/>
      <c r="I42" s="16"/>
      <c r="J42" s="27"/>
      <c r="K42" s="96" t="str">
        <f>_xlfn.IFNA(VLOOKUP(I42,Päästökertoimet!$E$38:$F$41,2,FALSE),"-")</f>
        <v>-</v>
      </c>
      <c r="L42" s="15">
        <f t="shared" si="7"/>
        <v>0</v>
      </c>
    </row>
    <row r="43" spans="2:12" x14ac:dyDescent="0.25">
      <c r="B43" s="16"/>
      <c r="C43" s="27"/>
      <c r="D43" s="96" t="str">
        <f>_xlfn.IFNA(VLOOKUP(B43,Päästökertoimet!$E$38:$F$41,2,FALSE),"-")</f>
        <v>-</v>
      </c>
      <c r="E43" s="15">
        <f t="shared" si="6"/>
        <v>0</v>
      </c>
      <c r="G43" s="44"/>
      <c r="I43" s="16"/>
      <c r="J43" s="27"/>
      <c r="K43" s="96" t="str">
        <f>_xlfn.IFNA(VLOOKUP(I43,Päästökertoimet!$E$38:$F$41,2,FALSE),"-")</f>
        <v>-</v>
      </c>
      <c r="L43" s="15">
        <f t="shared" si="7"/>
        <v>0</v>
      </c>
    </row>
    <row r="44" spans="2:12" x14ac:dyDescent="0.25">
      <c r="B44" s="112"/>
      <c r="C44" s="113"/>
      <c r="D44" s="119"/>
      <c r="E44" s="15">
        <f t="shared" si="6"/>
        <v>0</v>
      </c>
      <c r="G44" s="44"/>
      <c r="I44" s="112"/>
      <c r="J44" s="113"/>
      <c r="K44" s="119"/>
      <c r="L44" s="15">
        <f t="shared" si="7"/>
        <v>0</v>
      </c>
    </row>
    <row r="45" spans="2:12" ht="15.75" thickBot="1" x14ac:dyDescent="0.3">
      <c r="B45" s="114"/>
      <c r="C45" s="115"/>
      <c r="D45" s="120"/>
      <c r="E45" s="18">
        <f t="shared" si="6"/>
        <v>0</v>
      </c>
      <c r="G45" s="44"/>
      <c r="I45" s="114"/>
      <c r="J45" s="115"/>
      <c r="K45" s="120"/>
      <c r="L45" s="18">
        <f t="shared" si="7"/>
        <v>0</v>
      </c>
    </row>
  </sheetData>
  <mergeCells count="6">
    <mergeCell ref="B7:F7"/>
    <mergeCell ref="I7:M7"/>
    <mergeCell ref="B2:F2"/>
    <mergeCell ref="B3:F4"/>
    <mergeCell ref="I2:M2"/>
    <mergeCell ref="I3:M4"/>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showInputMessage="1" showErrorMessage="1" xr:uid="{00000000-0002-0000-0C00-000000000000}">
          <x14:formula1>
            <xm:f>Päästökertoimet!$N$56:$N$62</xm:f>
          </x14:formula1>
          <xm:sqref>B21:B24 I21:I24</xm:sqref>
        </x14:dataValidation>
        <x14:dataValidation type="list" showInputMessage="1" showErrorMessage="1" xr:uid="{00000000-0002-0000-0C00-000001000000}">
          <x14:formula1>
            <xm:f>Päästökertoimet!$N$49:$N$54</xm:f>
          </x14:formula1>
          <xm:sqref>C11:C15 J11:J15</xm:sqref>
        </x14:dataValidation>
        <x14:dataValidation type="list" showInputMessage="1" showErrorMessage="1" xr:uid="{00000000-0002-0000-0C00-000002000000}">
          <x14:formula1>
            <xm:f>Päästökertoimet!$J$49:$J$53</xm:f>
          </x14:formula1>
          <xm:sqref>B11:B15 I11:I15</xm:sqref>
        </x14:dataValidation>
        <x14:dataValidation type="list" showInputMessage="1" showErrorMessage="1" xr:uid="{00000000-0002-0000-0C00-000003000000}">
          <x14:formula1>
            <xm:f>Päästökertoimet!$E$2:$E$6</xm:f>
          </x14:formula1>
          <xm:sqref>B31:B34 I31:I34</xm:sqref>
        </x14:dataValidation>
        <x14:dataValidation type="list" showInputMessage="1" showErrorMessage="1" xr:uid="{00000000-0002-0000-0C00-000004000000}">
          <x14:formula1>
            <xm:f>Päästökertoimet!$E$38:$E$41</xm:f>
          </x14:formula1>
          <xm:sqref>B40:B43 I40:I43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B2:M48"/>
  <sheetViews>
    <sheetView workbookViewId="0"/>
  </sheetViews>
  <sheetFormatPr defaultColWidth="9.140625" defaultRowHeight="15" x14ac:dyDescent="0.25"/>
  <cols>
    <col min="1" max="1" width="9.140625" style="1"/>
    <col min="2" max="2" width="7.28515625" style="1" customWidth="1"/>
    <col min="3" max="3" width="25.85546875" style="1" bestFit="1" customWidth="1"/>
    <col min="4" max="5" width="23.85546875" style="1" bestFit="1" customWidth="1"/>
    <col min="6" max="6" width="15.28515625" style="1" bestFit="1" customWidth="1"/>
    <col min="7" max="8" width="9.140625" style="1"/>
    <col min="9" max="9" width="6.7109375" style="1" customWidth="1"/>
    <col min="10" max="10" width="29.42578125" style="1" bestFit="1" customWidth="1"/>
    <col min="11" max="12" width="23.85546875" style="1" bestFit="1" customWidth="1"/>
    <col min="13" max="13" width="15.28515625" style="1" bestFit="1" customWidth="1"/>
    <col min="14" max="16384" width="9.140625" style="1"/>
  </cols>
  <sheetData>
    <row r="2" spans="2:13" ht="15.75" x14ac:dyDescent="0.25">
      <c r="B2" s="136" t="s">
        <v>306</v>
      </c>
      <c r="C2" s="136"/>
      <c r="D2" s="136"/>
      <c r="E2" s="136"/>
      <c r="F2" s="136"/>
      <c r="G2" s="44"/>
      <c r="I2" s="136" t="s">
        <v>306</v>
      </c>
      <c r="J2" s="136"/>
      <c r="K2" s="136"/>
      <c r="L2" s="136"/>
      <c r="M2" s="136"/>
    </row>
    <row r="3" spans="2:13" ht="15" customHeight="1" x14ac:dyDescent="0.25">
      <c r="B3" s="135" t="s">
        <v>523</v>
      </c>
      <c r="C3" s="135"/>
      <c r="D3" s="135"/>
      <c r="E3" s="135"/>
      <c r="F3" s="135"/>
      <c r="G3" s="44"/>
      <c r="I3" s="135" t="s">
        <v>1146</v>
      </c>
      <c r="J3" s="135"/>
      <c r="K3" s="135"/>
      <c r="L3" s="135"/>
      <c r="M3" s="135"/>
    </row>
    <row r="4" spans="2:13" ht="15" customHeight="1" x14ac:dyDescent="0.25">
      <c r="B4" s="135"/>
      <c r="C4" s="135"/>
      <c r="D4" s="135"/>
      <c r="E4" s="135"/>
      <c r="F4" s="135"/>
      <c r="G4" s="44"/>
      <c r="I4" s="135"/>
      <c r="J4" s="135"/>
      <c r="K4" s="135"/>
      <c r="L4" s="135"/>
      <c r="M4" s="135"/>
    </row>
    <row r="5" spans="2:13" ht="15" customHeight="1" x14ac:dyDescent="0.25">
      <c r="B5" s="135"/>
      <c r="C5" s="135"/>
      <c r="D5" s="135"/>
      <c r="E5" s="135"/>
      <c r="F5" s="135"/>
      <c r="G5" s="44"/>
      <c r="I5" s="135"/>
      <c r="J5" s="135"/>
      <c r="K5" s="135"/>
      <c r="L5" s="135"/>
      <c r="M5" s="135"/>
    </row>
    <row r="6" spans="2:13" ht="18" customHeight="1" x14ac:dyDescent="0.25">
      <c r="B6" s="135"/>
      <c r="C6" s="135"/>
      <c r="D6" s="135"/>
      <c r="E6" s="135"/>
      <c r="F6" s="135"/>
      <c r="G6" s="44"/>
      <c r="I6" s="135"/>
      <c r="J6" s="135"/>
      <c r="K6" s="135"/>
      <c r="L6" s="135"/>
      <c r="M6" s="135"/>
    </row>
    <row r="7" spans="2:13" ht="18" customHeight="1" x14ac:dyDescent="0.25">
      <c r="B7" s="67"/>
      <c r="C7" s="67"/>
      <c r="D7" s="67"/>
      <c r="E7" s="67"/>
      <c r="F7" s="67"/>
      <c r="G7" s="44"/>
      <c r="I7" s="135"/>
      <c r="J7" s="135"/>
      <c r="K7" s="135"/>
      <c r="L7" s="135"/>
      <c r="M7" s="135"/>
    </row>
    <row r="8" spans="2:13" ht="18" customHeight="1" x14ac:dyDescent="0.25">
      <c r="B8" s="77"/>
      <c r="C8" s="77"/>
      <c r="D8" s="77"/>
      <c r="E8" s="77"/>
      <c r="F8" s="77"/>
      <c r="G8" s="44"/>
      <c r="I8" s="135"/>
      <c r="J8" s="135"/>
      <c r="K8" s="135"/>
      <c r="L8" s="135"/>
      <c r="M8" s="135"/>
    </row>
    <row r="9" spans="2:13" ht="18" customHeight="1" x14ac:dyDescent="0.25">
      <c r="B9" s="67"/>
      <c r="C9" s="67"/>
      <c r="D9" s="67"/>
      <c r="E9" s="67"/>
      <c r="F9" s="67"/>
      <c r="G9" s="44"/>
    </row>
    <row r="10" spans="2:13" ht="18.75" x14ac:dyDescent="0.3">
      <c r="B10" s="140" t="s">
        <v>80</v>
      </c>
      <c r="C10" s="140"/>
      <c r="D10" s="140"/>
      <c r="E10" s="140"/>
      <c r="F10" s="140"/>
      <c r="G10" s="44"/>
      <c r="I10" s="140" t="s">
        <v>81</v>
      </c>
      <c r="J10" s="140"/>
      <c r="K10" s="140"/>
      <c r="L10" s="140"/>
      <c r="M10" s="140"/>
    </row>
    <row r="11" spans="2:13" x14ac:dyDescent="0.25">
      <c r="G11" s="44"/>
    </row>
    <row r="12" spans="2:13" ht="15.75" thickBot="1" x14ac:dyDescent="0.3">
      <c r="G12" s="44"/>
    </row>
    <row r="13" spans="2:13" ht="18.75" thickBot="1" x14ac:dyDescent="0.4">
      <c r="B13" s="10" t="s">
        <v>110</v>
      </c>
      <c r="C13" s="10" t="s">
        <v>292</v>
      </c>
      <c r="D13" s="11" t="s">
        <v>293</v>
      </c>
      <c r="E13" s="10" t="s">
        <v>107</v>
      </c>
      <c r="F13" s="12" t="s">
        <v>60</v>
      </c>
      <c r="G13" s="44"/>
      <c r="I13" s="10" t="s">
        <v>110</v>
      </c>
      <c r="J13" s="10" t="s">
        <v>292</v>
      </c>
      <c r="K13" s="11" t="s">
        <v>293</v>
      </c>
      <c r="L13" s="10" t="s">
        <v>107</v>
      </c>
      <c r="M13" s="12" t="s">
        <v>60</v>
      </c>
    </row>
    <row r="14" spans="2:13" x14ac:dyDescent="0.25">
      <c r="B14" s="14"/>
      <c r="C14" s="42"/>
      <c r="D14" s="27"/>
      <c r="E14" s="5" t="str" cm="1">
        <f t="array" ref="E14">_xlfn.IFNA(INDEX(Päästökertoimet!$L$50:$L$69,MATCH(B14&amp;C14,Päästökertoimet!$J$50:$J$69&amp;Päästökertoimet!$K$50:$K$69,0)),"-")</f>
        <v>-</v>
      </c>
      <c r="F14" s="122">
        <f>IFERROR(D14*E14,0)</f>
        <v>0</v>
      </c>
      <c r="G14" s="44"/>
      <c r="I14" s="14"/>
      <c r="J14" s="42"/>
      <c r="K14" s="27"/>
      <c r="L14" s="5" t="str" cm="1">
        <f t="array" ref="L14">_xlfn.IFNA(INDEX(Päästökertoimet!$L$50:$L$69,MATCH(I14&amp;J14,Päästökertoimet!$J$50:$J$69&amp;Päästökertoimet!$K$50:$K$69,0)),"-")</f>
        <v>-</v>
      </c>
      <c r="M14" s="122">
        <f>IFERROR(K14*L14,0)</f>
        <v>0</v>
      </c>
    </row>
    <row r="15" spans="2:13" x14ac:dyDescent="0.25">
      <c r="B15" s="16"/>
      <c r="C15" s="43"/>
      <c r="D15" s="27"/>
      <c r="E15" s="5" t="str" cm="1">
        <f t="array" ref="E15">_xlfn.IFNA(INDEX(Päästökertoimet!$L$50:$L$69,MATCH(B15&amp;C15,Päästökertoimet!$J$50:$J$69&amp;Päästökertoimet!$K$50:$K$69,0)),"-")</f>
        <v>-</v>
      </c>
      <c r="F15" s="15">
        <f t="shared" ref="F15:F20" si="0">IFERROR(D15*E15,0)</f>
        <v>0</v>
      </c>
      <c r="G15" s="44"/>
      <c r="I15" s="16"/>
      <c r="J15" s="43"/>
      <c r="K15" s="27"/>
      <c r="L15" s="5" t="str" cm="1">
        <f t="array" ref="L15">_xlfn.IFNA(INDEX(Päästökertoimet!$L$50:$L$69,MATCH(I15&amp;J15,Päästökertoimet!$J$50:$J$69&amp;Päästökertoimet!$K$50:$K$69,0)),"-")</f>
        <v>-</v>
      </c>
      <c r="M15" s="15">
        <f t="shared" ref="M15:M20" si="1">IFERROR(K15*L15,0)</f>
        <v>0</v>
      </c>
    </row>
    <row r="16" spans="2:13" x14ac:dyDescent="0.25">
      <c r="B16" s="16"/>
      <c r="C16" s="43"/>
      <c r="D16" s="27"/>
      <c r="E16" s="5" t="str" cm="1">
        <f t="array" ref="E16">_xlfn.IFNA(INDEX(Päästökertoimet!$L$50:$L$69,MATCH(B16&amp;C16,Päästökertoimet!$J$50:$J$69&amp;Päästökertoimet!$K$50:$K$69,0)),"-")</f>
        <v>-</v>
      </c>
      <c r="F16" s="15">
        <f t="shared" si="0"/>
        <v>0</v>
      </c>
      <c r="G16" s="44"/>
      <c r="I16" s="16"/>
      <c r="J16" s="43"/>
      <c r="K16" s="27"/>
      <c r="L16" s="5" t="str" cm="1">
        <f t="array" ref="L16">_xlfn.IFNA(INDEX(Päästökertoimet!$L$50:$L$69,MATCH(I16&amp;J16,Päästökertoimet!$J$50:$J$69&amp;Päästökertoimet!$K$50:$K$69,0)),"-")</f>
        <v>-</v>
      </c>
      <c r="M16" s="15">
        <f t="shared" si="1"/>
        <v>0</v>
      </c>
    </row>
    <row r="17" spans="2:13" x14ac:dyDescent="0.25">
      <c r="B17" s="16"/>
      <c r="C17" s="43"/>
      <c r="D17" s="27"/>
      <c r="E17" s="5" t="str" cm="1">
        <f t="array" ref="E17">_xlfn.IFNA(INDEX(Päästökertoimet!$L$50:$L$69,MATCH(B17&amp;C17,Päästökertoimet!$J$50:$J$69&amp;Päästökertoimet!$K$50:$K$69,0)),"-")</f>
        <v>-</v>
      </c>
      <c r="F17" s="15">
        <f t="shared" si="0"/>
        <v>0</v>
      </c>
      <c r="G17" s="44"/>
      <c r="I17" s="16"/>
      <c r="J17" s="43"/>
      <c r="K17" s="27"/>
      <c r="L17" s="5" t="str" cm="1">
        <f t="array" ref="L17">_xlfn.IFNA(INDEX(Päästökertoimet!$L$50:$L$69,MATCH(I17&amp;J17,Päästökertoimet!$J$50:$J$69&amp;Päästökertoimet!$K$50:$K$69,0)),"-")</f>
        <v>-</v>
      </c>
      <c r="M17" s="15">
        <f t="shared" si="1"/>
        <v>0</v>
      </c>
    </row>
    <row r="18" spans="2:13" x14ac:dyDescent="0.25">
      <c r="B18" s="16"/>
      <c r="C18" s="43"/>
      <c r="D18" s="27"/>
      <c r="E18" s="5" t="str" cm="1">
        <f t="array" ref="E18">_xlfn.IFNA(INDEX(Päästökertoimet!$L$50:$L$69,MATCH(B18&amp;C18,Päästökertoimet!$J$50:$J$69&amp;Päästökertoimet!$K$50:$K$69,0)),"-")</f>
        <v>-</v>
      </c>
      <c r="F18" s="15">
        <f t="shared" si="0"/>
        <v>0</v>
      </c>
      <c r="G18" s="44"/>
      <c r="I18" s="16"/>
      <c r="J18" s="43"/>
      <c r="K18" s="27"/>
      <c r="L18" s="5" t="str" cm="1">
        <f t="array" ref="L18">_xlfn.IFNA(INDEX(Päästökertoimet!$L$50:$L$69,MATCH(I18&amp;J18,Päästökertoimet!$J$50:$J$69&amp;Päästökertoimet!$K$50:$K$69,0)),"-")</f>
        <v>-</v>
      </c>
      <c r="M18" s="15">
        <f t="shared" si="1"/>
        <v>0</v>
      </c>
    </row>
    <row r="19" spans="2:13" x14ac:dyDescent="0.25">
      <c r="B19" s="112"/>
      <c r="C19" s="113"/>
      <c r="D19" s="113"/>
      <c r="E19" s="119"/>
      <c r="F19" s="15">
        <f t="shared" si="0"/>
        <v>0</v>
      </c>
      <c r="G19" s="44"/>
      <c r="I19" s="112"/>
      <c r="J19" s="113"/>
      <c r="K19" s="113"/>
      <c r="L19" s="119"/>
      <c r="M19" s="15">
        <f t="shared" si="1"/>
        <v>0</v>
      </c>
    </row>
    <row r="20" spans="2:13" ht="15.75" thickBot="1" x14ac:dyDescent="0.3">
      <c r="B20" s="114"/>
      <c r="C20" s="115"/>
      <c r="D20" s="115"/>
      <c r="E20" s="120"/>
      <c r="F20" s="18">
        <f t="shared" si="0"/>
        <v>0</v>
      </c>
      <c r="G20" s="44"/>
      <c r="I20" s="114"/>
      <c r="J20" s="115"/>
      <c r="K20" s="115"/>
      <c r="L20" s="120"/>
      <c r="M20" s="18">
        <f t="shared" si="1"/>
        <v>0</v>
      </c>
    </row>
    <row r="21" spans="2:13" x14ac:dyDescent="0.25">
      <c r="C21" s="2"/>
      <c r="D21" s="2"/>
      <c r="E21" s="2"/>
      <c r="F21" s="2"/>
      <c r="G21" s="44"/>
      <c r="J21" s="2"/>
      <c r="K21" s="2"/>
      <c r="L21" s="2"/>
      <c r="M21" s="2"/>
    </row>
    <row r="22" spans="2:13" ht="15.75" thickBot="1" x14ac:dyDescent="0.3">
      <c r="C22" s="2"/>
      <c r="D22" s="2"/>
      <c r="E22" s="2"/>
      <c r="F22" s="2"/>
      <c r="G22" s="44"/>
      <c r="J22" s="2"/>
      <c r="K22" s="2"/>
      <c r="L22" s="2"/>
      <c r="M22" s="2"/>
    </row>
    <row r="23" spans="2:13" ht="18.75" thickBot="1" x14ac:dyDescent="0.4">
      <c r="C23" s="11" t="s">
        <v>300</v>
      </c>
      <c r="D23" s="11" t="s">
        <v>301</v>
      </c>
      <c r="E23" s="10" t="s">
        <v>107</v>
      </c>
      <c r="F23" s="10" t="s">
        <v>60</v>
      </c>
      <c r="G23" s="44"/>
      <c r="J23" s="11" t="s">
        <v>300</v>
      </c>
      <c r="K23" s="11" t="s">
        <v>301</v>
      </c>
      <c r="L23" s="10" t="s">
        <v>107</v>
      </c>
      <c r="M23" s="10" t="s">
        <v>60</v>
      </c>
    </row>
    <row r="24" spans="2:13" x14ac:dyDescent="0.25">
      <c r="C24" s="16"/>
      <c r="D24" s="27"/>
      <c r="E24" s="13" t="str">
        <f>_xlfn.IFNA(VLOOKUP(C24,Päästökertoimet!$N$57:$O$62,2,FALSE),"-")</f>
        <v>-</v>
      </c>
      <c r="F24" s="23">
        <f t="shared" ref="F24:F29" si="2">IFERROR(D24*E24,0)</f>
        <v>0</v>
      </c>
      <c r="G24" s="44"/>
      <c r="J24" s="16"/>
      <c r="K24" s="27"/>
      <c r="L24" s="13" t="str">
        <f>_xlfn.IFNA(VLOOKUP(J24,Päästökertoimet!$N$57:$O$62,2,FALSE),"-")</f>
        <v>-</v>
      </c>
      <c r="M24" s="23">
        <f t="shared" ref="M24:M29" si="3">IFERROR(K24*L24,0)</f>
        <v>0</v>
      </c>
    </row>
    <row r="25" spans="2:13" x14ac:dyDescent="0.25">
      <c r="C25" s="16"/>
      <c r="D25" s="27"/>
      <c r="E25" s="7" t="str">
        <f>_xlfn.IFNA(VLOOKUP(C25,Päästökertoimet!$N$57:$O$62,2,FALSE),"-")</f>
        <v>-</v>
      </c>
      <c r="F25" s="23">
        <f t="shared" si="2"/>
        <v>0</v>
      </c>
      <c r="G25" s="44"/>
      <c r="J25" s="16"/>
      <c r="K25" s="27"/>
      <c r="L25" s="7" t="str">
        <f>_xlfn.IFNA(VLOOKUP(J25,Päästökertoimet!$N$57:$O$62,2,FALSE),"-")</f>
        <v>-</v>
      </c>
      <c r="M25" s="23">
        <f t="shared" si="3"/>
        <v>0</v>
      </c>
    </row>
    <row r="26" spans="2:13" x14ac:dyDescent="0.25">
      <c r="C26" s="16"/>
      <c r="D26" s="27"/>
      <c r="E26" s="7" t="str">
        <f>_xlfn.IFNA(VLOOKUP(C26,Päästökertoimet!$N$57:$O$62,2,FALSE),"-")</f>
        <v>-</v>
      </c>
      <c r="F26" s="23">
        <f t="shared" si="2"/>
        <v>0</v>
      </c>
      <c r="G26" s="44"/>
      <c r="J26" s="16"/>
      <c r="K26" s="27"/>
      <c r="L26" s="7" t="str">
        <f>_xlfn.IFNA(VLOOKUP(J26,Päästökertoimet!$N$57:$O$62,2,FALSE),"-")</f>
        <v>-</v>
      </c>
      <c r="M26" s="23">
        <f t="shared" si="3"/>
        <v>0</v>
      </c>
    </row>
    <row r="27" spans="2:13" x14ac:dyDescent="0.25">
      <c r="C27" s="16"/>
      <c r="D27" s="27"/>
      <c r="E27" s="7" t="str">
        <f>_xlfn.IFNA(VLOOKUP(C27,Päästökertoimet!$N$57:$O$62,2,FALSE),"-")</f>
        <v>-</v>
      </c>
      <c r="F27" s="23">
        <f t="shared" si="2"/>
        <v>0</v>
      </c>
      <c r="G27" s="44"/>
      <c r="J27" s="16"/>
      <c r="K27" s="27"/>
      <c r="L27" s="7" t="str">
        <f>_xlfn.IFNA(VLOOKUP(J27,Päästökertoimet!$N$57:$O$62,2,FALSE),"-")</f>
        <v>-</v>
      </c>
      <c r="M27" s="23">
        <f t="shared" si="3"/>
        <v>0</v>
      </c>
    </row>
    <row r="28" spans="2:13" x14ac:dyDescent="0.25">
      <c r="C28" s="112"/>
      <c r="D28" s="113"/>
      <c r="E28" s="113"/>
      <c r="F28" s="23">
        <f t="shared" si="2"/>
        <v>0</v>
      </c>
      <c r="G28" s="44"/>
      <c r="J28" s="112"/>
      <c r="K28" s="113"/>
      <c r="L28" s="113"/>
      <c r="M28" s="23">
        <f t="shared" si="3"/>
        <v>0</v>
      </c>
    </row>
    <row r="29" spans="2:13" ht="15.75" thickBot="1" x14ac:dyDescent="0.3">
      <c r="C29" s="114"/>
      <c r="D29" s="115"/>
      <c r="E29" s="115"/>
      <c r="F29" s="24">
        <f t="shared" si="2"/>
        <v>0</v>
      </c>
      <c r="G29" s="44"/>
      <c r="J29" s="114"/>
      <c r="K29" s="115"/>
      <c r="L29" s="115"/>
      <c r="M29" s="24">
        <f t="shared" si="3"/>
        <v>0</v>
      </c>
    </row>
    <row r="30" spans="2:13" x14ac:dyDescent="0.25">
      <c r="G30" s="44"/>
    </row>
    <row r="31" spans="2:13" x14ac:dyDescent="0.25">
      <c r="G31" s="44"/>
    </row>
    <row r="32" spans="2:13" ht="15.75" thickBot="1" x14ac:dyDescent="0.3">
      <c r="G32" s="44"/>
    </row>
    <row r="33" spans="3:13" ht="18.75" thickBot="1" x14ac:dyDescent="0.4">
      <c r="C33" s="10" t="s">
        <v>110</v>
      </c>
      <c r="D33" s="10" t="s">
        <v>111</v>
      </c>
      <c r="E33" s="10" t="s">
        <v>58</v>
      </c>
      <c r="F33" s="10" t="s">
        <v>60</v>
      </c>
      <c r="G33" s="44"/>
      <c r="J33" s="10" t="s">
        <v>110</v>
      </c>
      <c r="K33" s="10" t="s">
        <v>111</v>
      </c>
      <c r="L33" s="10" t="s">
        <v>58</v>
      </c>
      <c r="M33" s="10" t="s">
        <v>60</v>
      </c>
    </row>
    <row r="34" spans="3:13" x14ac:dyDescent="0.25">
      <c r="C34" s="14"/>
      <c r="D34" s="34"/>
      <c r="E34" s="13" t="str">
        <f>_xlfn.IFNA(VLOOKUP(C34,Päästökertoimet!$E$2:$F$6,2,FALSE),"-")</f>
        <v>-</v>
      </c>
      <c r="F34" s="23">
        <f>IF(D34&gt;0,E34*D34,0)</f>
        <v>0</v>
      </c>
      <c r="G34" s="44"/>
      <c r="J34" s="14"/>
      <c r="K34" s="34"/>
      <c r="L34" s="13" t="str">
        <f>_xlfn.IFNA(VLOOKUP(J34,Päästökertoimet!$E$2:$F$6,2,FALSE),"-")</f>
        <v>-</v>
      </c>
      <c r="M34" s="23">
        <f>IF(K34&gt;0,L34*K34,0)</f>
        <v>0</v>
      </c>
    </row>
    <row r="35" spans="3:13" x14ac:dyDescent="0.25">
      <c r="C35" s="16"/>
      <c r="D35" s="27"/>
      <c r="E35" s="7" t="str">
        <f>_xlfn.IFNA(VLOOKUP(C35,Päästökertoimet!$E$2:$F$6,2,FALSE),"-")</f>
        <v>-</v>
      </c>
      <c r="F35" s="23">
        <f t="shared" ref="F35:F39" si="4">IF(D35&gt;0,E35*D35,0)</f>
        <v>0</v>
      </c>
      <c r="G35" s="44"/>
      <c r="J35" s="16"/>
      <c r="K35" s="27"/>
      <c r="L35" s="7" t="str">
        <f>_xlfn.IFNA(VLOOKUP(J35,Päästökertoimet!$E$2:$F$6,2,FALSE),"-")</f>
        <v>-</v>
      </c>
      <c r="M35" s="23">
        <f t="shared" ref="M35:M39" si="5">IF(K35&gt;0,L35*K35,0)</f>
        <v>0</v>
      </c>
    </row>
    <row r="36" spans="3:13" x14ac:dyDescent="0.25">
      <c r="C36" s="16"/>
      <c r="D36" s="27"/>
      <c r="E36" s="7" t="str">
        <f>_xlfn.IFNA(VLOOKUP(C36,Päästökertoimet!$E$2:$F$6,2,FALSE),"-")</f>
        <v>-</v>
      </c>
      <c r="F36" s="23">
        <f t="shared" si="4"/>
        <v>0</v>
      </c>
      <c r="G36" s="44"/>
      <c r="J36" s="16"/>
      <c r="K36" s="27"/>
      <c r="L36" s="7" t="str">
        <f>_xlfn.IFNA(VLOOKUP(J36,Päästökertoimet!$E$2:$F$6,2,FALSE),"-")</f>
        <v>-</v>
      </c>
      <c r="M36" s="23">
        <f t="shared" si="5"/>
        <v>0</v>
      </c>
    </row>
    <row r="37" spans="3:13" x14ac:dyDescent="0.25">
      <c r="C37" s="16"/>
      <c r="D37" s="27"/>
      <c r="E37" s="7" t="str">
        <f>_xlfn.IFNA(VLOOKUP(C37,Päästökertoimet!$E$2:$F$6,2,FALSE),"-")</f>
        <v>-</v>
      </c>
      <c r="F37" s="23">
        <f t="shared" si="4"/>
        <v>0</v>
      </c>
      <c r="G37" s="44"/>
      <c r="J37" s="16"/>
      <c r="K37" s="27"/>
      <c r="L37" s="7" t="str">
        <f>_xlfn.IFNA(VLOOKUP(J37,Päästökertoimet!$E$2:$F$6,2,FALSE),"-")</f>
        <v>-</v>
      </c>
      <c r="M37" s="23">
        <f t="shared" si="5"/>
        <v>0</v>
      </c>
    </row>
    <row r="38" spans="3:13" x14ac:dyDescent="0.25">
      <c r="C38" s="112"/>
      <c r="D38" s="113"/>
      <c r="E38" s="113"/>
      <c r="F38" s="23">
        <f t="shared" si="4"/>
        <v>0</v>
      </c>
      <c r="G38" s="44"/>
      <c r="J38" s="112"/>
      <c r="K38" s="113"/>
      <c r="L38" s="113"/>
      <c r="M38" s="23">
        <f t="shared" si="5"/>
        <v>0</v>
      </c>
    </row>
    <row r="39" spans="3:13" ht="15.75" thickBot="1" x14ac:dyDescent="0.3">
      <c r="C39" s="114"/>
      <c r="D39" s="115"/>
      <c r="E39" s="115"/>
      <c r="F39" s="24">
        <f t="shared" si="4"/>
        <v>0</v>
      </c>
      <c r="G39" s="44"/>
      <c r="J39" s="114"/>
      <c r="K39" s="115"/>
      <c r="L39" s="115"/>
      <c r="M39" s="24">
        <f t="shared" si="5"/>
        <v>0</v>
      </c>
    </row>
    <row r="40" spans="3:13" x14ac:dyDescent="0.25">
      <c r="G40" s="44"/>
    </row>
    <row r="41" spans="3:13" ht="15.75" thickBot="1" x14ac:dyDescent="0.3">
      <c r="G41" s="44"/>
    </row>
    <row r="42" spans="3:13" ht="18.75" thickBot="1" x14ac:dyDescent="0.4">
      <c r="C42" s="10" t="s">
        <v>110</v>
      </c>
      <c r="D42" s="10" t="s">
        <v>236</v>
      </c>
      <c r="E42" s="10" t="s">
        <v>58</v>
      </c>
      <c r="F42" s="10" t="s">
        <v>60</v>
      </c>
      <c r="G42" s="44"/>
      <c r="J42" s="10" t="s">
        <v>110</v>
      </c>
      <c r="K42" s="10" t="s">
        <v>236</v>
      </c>
      <c r="L42" s="10" t="s">
        <v>58</v>
      </c>
      <c r="M42" s="10" t="s">
        <v>60</v>
      </c>
    </row>
    <row r="43" spans="3:13" x14ac:dyDescent="0.25">
      <c r="C43" s="14"/>
      <c r="D43" s="34"/>
      <c r="E43" s="7" t="str">
        <f>_xlfn.IFNA(VLOOKUP(C43,Päästökertoimet!$E$38:$F$41,2,FALSE),"-")</f>
        <v>-</v>
      </c>
      <c r="F43" s="23">
        <f t="shared" ref="F43:F48" si="6">IF(D43&gt;0,E43*D43,0)</f>
        <v>0</v>
      </c>
      <c r="G43" s="44"/>
      <c r="J43" s="14"/>
      <c r="K43" s="34"/>
      <c r="L43" s="7" t="str">
        <f>_xlfn.IFNA(VLOOKUP(J43,Päästökertoimet!$E$38:$F$41,2,FALSE),"-")</f>
        <v>-</v>
      </c>
      <c r="M43" s="23">
        <f t="shared" ref="M43:M48" si="7">IF(K43&gt;0,L43*K43,0)</f>
        <v>0</v>
      </c>
    </row>
    <row r="44" spans="3:13" x14ac:dyDescent="0.25">
      <c r="C44" s="16"/>
      <c r="D44" s="27"/>
      <c r="E44" s="7" t="str">
        <f>_xlfn.IFNA(VLOOKUP(C44,Päästökertoimet!$E$38:$F$41,2,FALSE),"-")</f>
        <v>-</v>
      </c>
      <c r="F44" s="23">
        <f t="shared" si="6"/>
        <v>0</v>
      </c>
      <c r="G44" s="44"/>
      <c r="J44" s="16"/>
      <c r="K44" s="27"/>
      <c r="L44" s="7" t="str">
        <f>_xlfn.IFNA(VLOOKUP(J44,Päästökertoimet!$E$38:$F$41,2,FALSE),"-")</f>
        <v>-</v>
      </c>
      <c r="M44" s="23">
        <f t="shared" si="7"/>
        <v>0</v>
      </c>
    </row>
    <row r="45" spans="3:13" x14ac:dyDescent="0.25">
      <c r="C45" s="16"/>
      <c r="D45" s="27"/>
      <c r="E45" s="7" t="str">
        <f>_xlfn.IFNA(VLOOKUP(C45,Päästökertoimet!$E$38:$F$41,2,FALSE),"-")</f>
        <v>-</v>
      </c>
      <c r="F45" s="23">
        <f t="shared" si="6"/>
        <v>0</v>
      </c>
      <c r="G45" s="44"/>
      <c r="J45" s="16"/>
      <c r="K45" s="27"/>
      <c r="L45" s="7" t="str">
        <f>_xlfn.IFNA(VLOOKUP(J45,Päästökertoimet!$E$38:$F$41,2,FALSE),"-")</f>
        <v>-</v>
      </c>
      <c r="M45" s="23">
        <f t="shared" si="7"/>
        <v>0</v>
      </c>
    </row>
    <row r="46" spans="3:13" x14ac:dyDescent="0.25">
      <c r="C46" s="16"/>
      <c r="D46" s="27"/>
      <c r="E46" s="7" t="str">
        <f>_xlfn.IFNA(VLOOKUP(C46,Päästökertoimet!$E$38:$F$41,2,FALSE),"-")</f>
        <v>-</v>
      </c>
      <c r="F46" s="23">
        <f t="shared" si="6"/>
        <v>0</v>
      </c>
      <c r="G46" s="44"/>
      <c r="J46" s="16"/>
      <c r="K46" s="27"/>
      <c r="L46" s="7" t="str">
        <f>_xlfn.IFNA(VLOOKUP(J46,Päästökertoimet!$E$38:$F$41,2,FALSE),"-")</f>
        <v>-</v>
      </c>
      <c r="M46" s="23">
        <f t="shared" si="7"/>
        <v>0</v>
      </c>
    </row>
    <row r="47" spans="3:13" x14ac:dyDescent="0.25">
      <c r="C47" s="112"/>
      <c r="D47" s="113"/>
      <c r="E47" s="113"/>
      <c r="F47" s="23">
        <f t="shared" si="6"/>
        <v>0</v>
      </c>
      <c r="G47" s="44"/>
      <c r="J47" s="112"/>
      <c r="K47" s="113"/>
      <c r="L47" s="113"/>
      <c r="M47" s="23">
        <f t="shared" si="7"/>
        <v>0</v>
      </c>
    </row>
    <row r="48" spans="3:13" ht="15.75" thickBot="1" x14ac:dyDescent="0.3">
      <c r="C48" s="114"/>
      <c r="D48" s="115"/>
      <c r="E48" s="115"/>
      <c r="F48" s="24">
        <f t="shared" si="6"/>
        <v>0</v>
      </c>
      <c r="G48" s="44"/>
      <c r="J48" s="114"/>
      <c r="K48" s="115"/>
      <c r="L48" s="115"/>
      <c r="M48" s="24">
        <f t="shared" si="7"/>
        <v>0</v>
      </c>
    </row>
  </sheetData>
  <mergeCells count="6">
    <mergeCell ref="B2:F2"/>
    <mergeCell ref="I2:M2"/>
    <mergeCell ref="B10:F10"/>
    <mergeCell ref="I10:M10"/>
    <mergeCell ref="B3:F6"/>
    <mergeCell ref="I3:M8"/>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showInputMessage="1" showErrorMessage="1" xr:uid="{00000000-0002-0000-0D00-000000000000}">
          <x14:formula1>
            <xm:f>Päästökertoimet!$N$56:$N$62</xm:f>
          </x14:formula1>
          <xm:sqref>C24:C27 J24:J27</xm:sqref>
        </x14:dataValidation>
        <x14:dataValidation type="list" showInputMessage="1" showErrorMessage="1" xr:uid="{00000000-0002-0000-0D00-000001000000}">
          <x14:formula1>
            <xm:f>Päästökertoimet!$N$49:$N$54</xm:f>
          </x14:formula1>
          <xm:sqref>C14:C18 J14:J18</xm:sqref>
        </x14:dataValidation>
        <x14:dataValidation type="list" showInputMessage="1" showErrorMessage="1" xr:uid="{00000000-0002-0000-0D00-000002000000}">
          <x14:formula1>
            <xm:f>Päästökertoimet!$J$49:$J$53</xm:f>
          </x14:formula1>
          <xm:sqref>B14:B18 I14:I18</xm:sqref>
        </x14:dataValidation>
        <x14:dataValidation type="list" showInputMessage="1" showErrorMessage="1" xr:uid="{00000000-0002-0000-0D00-000003000000}">
          <x14:formula1>
            <xm:f>Päästökertoimet!$E$2:$E$6</xm:f>
          </x14:formula1>
          <xm:sqref>C34:C37 J34:J37</xm:sqref>
        </x14:dataValidation>
        <x14:dataValidation type="list" showInputMessage="1" showErrorMessage="1" xr:uid="{00000000-0002-0000-0D00-000004000000}">
          <x14:formula1>
            <xm:f>Päästökertoimet!$E$38:$E$41</xm:f>
          </x14:formula1>
          <xm:sqref>C43:C46 J43:J46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B2:F37"/>
  <sheetViews>
    <sheetView workbookViewId="0">
      <selection activeCell="D15" sqref="D15"/>
    </sheetView>
  </sheetViews>
  <sheetFormatPr defaultColWidth="9.140625" defaultRowHeight="15" x14ac:dyDescent="0.25"/>
  <cols>
    <col min="1" max="1" width="9.140625" style="1"/>
    <col min="2" max="2" width="32.42578125" style="1" bestFit="1" customWidth="1"/>
    <col min="3" max="3" width="16" style="1" bestFit="1" customWidth="1"/>
    <col min="4" max="4" width="24.28515625" style="1" bestFit="1" customWidth="1"/>
    <col min="5" max="5" width="15.28515625" style="1" bestFit="1" customWidth="1"/>
    <col min="6" max="16384" width="9.140625" style="1"/>
  </cols>
  <sheetData>
    <row r="2" spans="2:6" ht="15.75" x14ac:dyDescent="0.25">
      <c r="B2" s="136" t="s">
        <v>306</v>
      </c>
      <c r="C2" s="136"/>
      <c r="D2" s="136"/>
      <c r="E2" s="136"/>
      <c r="F2" s="49"/>
    </row>
    <row r="3" spans="2:6" ht="15.75" x14ac:dyDescent="0.25">
      <c r="B3" s="135" t="s">
        <v>524</v>
      </c>
      <c r="C3" s="135"/>
      <c r="D3" s="135"/>
      <c r="E3" s="135"/>
      <c r="F3" s="46"/>
    </row>
    <row r="4" spans="2:6" ht="15.75" x14ac:dyDescent="0.25">
      <c r="B4" s="135"/>
      <c r="C4" s="135"/>
      <c r="D4" s="135"/>
      <c r="E4" s="135"/>
      <c r="F4" s="46"/>
    </row>
    <row r="5" spans="2:6" x14ac:dyDescent="0.25">
      <c r="B5" s="2"/>
      <c r="C5" s="2"/>
      <c r="D5" s="2"/>
      <c r="E5" s="2"/>
    </row>
    <row r="6" spans="2:6" ht="18.75" x14ac:dyDescent="0.3">
      <c r="B6" s="140" t="s">
        <v>1173</v>
      </c>
      <c r="C6" s="140"/>
      <c r="D6" s="140"/>
      <c r="E6" s="140"/>
      <c r="F6" s="74"/>
    </row>
    <row r="7" spans="2:6" ht="19.5" thickBot="1" x14ac:dyDescent="0.35">
      <c r="B7" s="68"/>
      <c r="C7" s="68"/>
      <c r="D7" s="68"/>
      <c r="E7" s="68"/>
      <c r="F7" s="68"/>
    </row>
    <row r="8" spans="2:6" ht="19.5" thickBot="1" x14ac:dyDescent="0.4">
      <c r="B8" s="10" t="s">
        <v>280</v>
      </c>
      <c r="C8" s="10" t="s">
        <v>281</v>
      </c>
      <c r="D8" s="10" t="s">
        <v>282</v>
      </c>
      <c r="E8" s="10" t="s">
        <v>60</v>
      </c>
    </row>
    <row r="9" spans="2:6" ht="15.75" thickBot="1" x14ac:dyDescent="0.3">
      <c r="B9" s="38"/>
      <c r="C9" s="39"/>
      <c r="D9" s="39" t="str">
        <f>_xlfn.IFNA(VLOOKUP(B9,Päästökertoimet!H15:I16,2,FALSE),"-")</f>
        <v>-</v>
      </c>
      <c r="E9" s="24">
        <f>IF(C9&gt;0,D9*C9,0)</f>
        <v>0</v>
      </c>
    </row>
    <row r="10" spans="2:6" x14ac:dyDescent="0.25">
      <c r="B10"/>
      <c r="C10" s="5"/>
      <c r="D10" s="5"/>
      <c r="E10" s="37"/>
    </row>
    <row r="11" spans="2:6" ht="15.75" thickBot="1" x14ac:dyDescent="0.3">
      <c r="B11" s="2"/>
      <c r="C11" s="2"/>
      <c r="D11" s="2"/>
      <c r="E11" s="2"/>
    </row>
    <row r="12" spans="2:6" ht="18.75" thickBot="1" x14ac:dyDescent="0.4">
      <c r="B12" s="10" t="s">
        <v>243</v>
      </c>
      <c r="C12" s="10" t="s">
        <v>265</v>
      </c>
      <c r="D12" s="10" t="s">
        <v>58</v>
      </c>
      <c r="E12" s="10" t="s">
        <v>60</v>
      </c>
    </row>
    <row r="13" spans="2:6" x14ac:dyDescent="0.25">
      <c r="B13" s="14"/>
      <c r="C13" s="35"/>
      <c r="D13" s="13" t="str">
        <f>_xlfn.IFNA(VLOOKUP(B13,Päästökertoimet!$H$2:$I$12,2,FALSE),"-")</f>
        <v>-</v>
      </c>
      <c r="E13" s="23">
        <f>IF(C13&gt;0,D13*C13,0)</f>
        <v>0</v>
      </c>
    </row>
    <row r="14" spans="2:6" x14ac:dyDescent="0.25">
      <c r="B14" s="16"/>
      <c r="C14" s="27"/>
      <c r="D14" s="7" t="str">
        <f>_xlfn.IFNA(VLOOKUP(B14,Päästökertoimet!$H$2:$I$12,2,FALSE),"-")</f>
        <v>-</v>
      </c>
      <c r="E14" s="23">
        <f t="shared" ref="E14:E22" si="0">IF(C14&gt;0,D14*C14,0)</f>
        <v>0</v>
      </c>
    </row>
    <row r="15" spans="2:6" x14ac:dyDescent="0.25">
      <c r="B15" s="16"/>
      <c r="C15" s="27"/>
      <c r="D15" s="7" t="str">
        <f>_xlfn.IFNA(VLOOKUP(B15,Päästökertoimet!$H$2:$I$12,2,FALSE),"-")</f>
        <v>-</v>
      </c>
      <c r="E15" s="23">
        <f t="shared" si="0"/>
        <v>0</v>
      </c>
    </row>
    <row r="16" spans="2:6" x14ac:dyDescent="0.25">
      <c r="B16" s="16"/>
      <c r="C16" s="27"/>
      <c r="D16" s="7" t="str">
        <f>_xlfn.IFNA(VLOOKUP(B16,Päästökertoimet!$H$2:$I$12,2,FALSE),"-")</f>
        <v>-</v>
      </c>
      <c r="E16" s="23">
        <f t="shared" si="0"/>
        <v>0</v>
      </c>
    </row>
    <row r="17" spans="2:5" x14ac:dyDescent="0.25">
      <c r="B17" s="16"/>
      <c r="C17" s="27"/>
      <c r="D17" s="7" t="str">
        <f>_xlfn.IFNA(VLOOKUP(B17,Päästökertoimet!$H$2:$I$12,2,FALSE),"-")</f>
        <v>-</v>
      </c>
      <c r="E17" s="23">
        <f t="shared" si="0"/>
        <v>0</v>
      </c>
    </row>
    <row r="18" spans="2:5" x14ac:dyDescent="0.25">
      <c r="B18" s="16"/>
      <c r="C18" s="27"/>
      <c r="D18" s="7" t="str">
        <f>_xlfn.IFNA(VLOOKUP(B18,Päästökertoimet!$H$2:$I$12,2,FALSE),"-")</f>
        <v>-</v>
      </c>
      <c r="E18" s="23">
        <f t="shared" si="0"/>
        <v>0</v>
      </c>
    </row>
    <row r="19" spans="2:5" x14ac:dyDescent="0.25">
      <c r="B19" s="16"/>
      <c r="C19" s="27"/>
      <c r="D19" s="7" t="str">
        <f>_xlfn.IFNA(VLOOKUP(B19,Päästökertoimet!$H$2:$I$12,2,FALSE),"-")</f>
        <v>-</v>
      </c>
      <c r="E19" s="23">
        <f t="shared" si="0"/>
        <v>0</v>
      </c>
    </row>
    <row r="20" spans="2:5" x14ac:dyDescent="0.25">
      <c r="B20" s="112"/>
      <c r="C20" s="113"/>
      <c r="D20" s="113"/>
      <c r="E20" s="23">
        <f t="shared" si="0"/>
        <v>0</v>
      </c>
    </row>
    <row r="21" spans="2:5" x14ac:dyDescent="0.25">
      <c r="B21" s="112"/>
      <c r="C21" s="113"/>
      <c r="D21" s="113"/>
      <c r="E21" s="23">
        <f t="shared" si="0"/>
        <v>0</v>
      </c>
    </row>
    <row r="22" spans="2:5" ht="15.75" thickBot="1" x14ac:dyDescent="0.3">
      <c r="B22" s="114"/>
      <c r="C22" s="115"/>
      <c r="D22" s="115"/>
      <c r="E22" s="24">
        <f t="shared" si="0"/>
        <v>0</v>
      </c>
    </row>
    <row r="23" spans="2:5" x14ac:dyDescent="0.25">
      <c r="B23" s="2"/>
      <c r="C23" s="2"/>
      <c r="D23" s="2"/>
      <c r="E23" s="2"/>
    </row>
    <row r="24" spans="2:5" ht="15.75" thickBot="1" x14ac:dyDescent="0.3">
      <c r="B24" s="2"/>
      <c r="C24" s="2"/>
      <c r="D24" s="2"/>
      <c r="E24" s="2"/>
    </row>
    <row r="25" spans="2:5" ht="18.75" thickBot="1" x14ac:dyDescent="0.4">
      <c r="B25" s="10" t="s">
        <v>244</v>
      </c>
      <c r="C25" s="10" t="s">
        <v>265</v>
      </c>
      <c r="D25" s="10" t="s">
        <v>58</v>
      </c>
      <c r="E25" s="10" t="s">
        <v>60</v>
      </c>
    </row>
    <row r="26" spans="2:5" x14ac:dyDescent="0.25">
      <c r="B26" s="14"/>
      <c r="C26" s="35"/>
      <c r="D26" s="13" t="str">
        <f>_xlfn.IFNA(VLOOKUP(B26,Päästökertoimet!$K$2:$L$13,2,FALSE),"-")</f>
        <v>-</v>
      </c>
      <c r="E26" s="23">
        <f>IF(C26&gt;0,D26*C26,0)</f>
        <v>0</v>
      </c>
    </row>
    <row r="27" spans="2:5" x14ac:dyDescent="0.25">
      <c r="B27" s="16"/>
      <c r="C27" s="27"/>
      <c r="D27" s="7" t="str">
        <f>_xlfn.IFNA(VLOOKUP(B27,Päästökertoimet!$K$2:$L$13,2,FALSE),"-")</f>
        <v>-</v>
      </c>
      <c r="E27" s="23">
        <f t="shared" ref="E27:E35" si="1">IF(C27&gt;0,D27*C27,0)</f>
        <v>0</v>
      </c>
    </row>
    <row r="28" spans="2:5" x14ac:dyDescent="0.25">
      <c r="B28" s="16"/>
      <c r="C28" s="27"/>
      <c r="D28" s="7" t="str">
        <f>_xlfn.IFNA(VLOOKUP(B28,Päästökertoimet!$K$2:$L$13,2,FALSE),"-")</f>
        <v>-</v>
      </c>
      <c r="E28" s="23">
        <f t="shared" si="1"/>
        <v>0</v>
      </c>
    </row>
    <row r="29" spans="2:5" x14ac:dyDescent="0.25">
      <c r="B29" s="16"/>
      <c r="C29" s="27"/>
      <c r="D29" s="7" t="str">
        <f>_xlfn.IFNA(VLOOKUP(B29,Päästökertoimet!$K$2:$L$13,2,FALSE),"-")</f>
        <v>-</v>
      </c>
      <c r="E29" s="23">
        <f t="shared" si="1"/>
        <v>0</v>
      </c>
    </row>
    <row r="30" spans="2:5" x14ac:dyDescent="0.25">
      <c r="B30" s="16"/>
      <c r="C30" s="27"/>
      <c r="D30" s="7" t="str">
        <f>_xlfn.IFNA(VLOOKUP(B30,Päästökertoimet!$K$2:$L$13,2,FALSE),"-")</f>
        <v>-</v>
      </c>
      <c r="E30" s="23">
        <f t="shared" si="1"/>
        <v>0</v>
      </c>
    </row>
    <row r="31" spans="2:5" x14ac:dyDescent="0.25">
      <c r="B31" s="16"/>
      <c r="C31" s="27"/>
      <c r="D31" s="7" t="str">
        <f>_xlfn.IFNA(VLOOKUP(B31,Päästökertoimet!$K$2:$L$13,2,FALSE),"-")</f>
        <v>-</v>
      </c>
      <c r="E31" s="23">
        <f t="shared" si="1"/>
        <v>0</v>
      </c>
    </row>
    <row r="32" spans="2:5" x14ac:dyDescent="0.25">
      <c r="B32" s="16"/>
      <c r="C32" s="27"/>
      <c r="D32" s="7" t="str">
        <f>_xlfn.IFNA(VLOOKUP(B32,Päästökertoimet!$K$2:$L$13,2,FALSE),"-")</f>
        <v>-</v>
      </c>
      <c r="E32" s="23">
        <f t="shared" si="1"/>
        <v>0</v>
      </c>
    </row>
    <row r="33" spans="2:5" x14ac:dyDescent="0.25">
      <c r="B33" s="112"/>
      <c r="C33" s="113"/>
      <c r="D33" s="113"/>
      <c r="E33" s="23">
        <f t="shared" si="1"/>
        <v>0</v>
      </c>
    </row>
    <row r="34" spans="2:5" x14ac:dyDescent="0.25">
      <c r="B34" s="112"/>
      <c r="C34" s="113"/>
      <c r="D34" s="113"/>
      <c r="E34" s="23">
        <f t="shared" si="1"/>
        <v>0</v>
      </c>
    </row>
    <row r="35" spans="2:5" ht="15.75" thickBot="1" x14ac:dyDescent="0.3">
      <c r="B35" s="114"/>
      <c r="C35" s="115"/>
      <c r="D35" s="115"/>
      <c r="E35" s="24">
        <f t="shared" si="1"/>
        <v>0</v>
      </c>
    </row>
    <row r="36" spans="2:5" x14ac:dyDescent="0.25">
      <c r="B36" s="2"/>
      <c r="C36" s="2"/>
      <c r="D36" s="2"/>
      <c r="E36" s="2"/>
    </row>
    <row r="37" spans="2:5" x14ac:dyDescent="0.25">
      <c r="B37" s="2"/>
      <c r="C37" s="2"/>
      <c r="D37" s="2"/>
      <c r="E37" s="2"/>
    </row>
  </sheetData>
  <mergeCells count="3">
    <mergeCell ref="B2:E2"/>
    <mergeCell ref="B3:E4"/>
    <mergeCell ref="B6:E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showInputMessage="1" showErrorMessage="1" xr:uid="{00000000-0002-0000-0E00-000000000000}">
          <x14:formula1>
            <xm:f>Päästökertoimet!$H$15:$H$16</xm:f>
          </x14:formula1>
          <xm:sqref>B9</xm:sqref>
        </x14:dataValidation>
        <x14:dataValidation type="list" showInputMessage="1" showErrorMessage="1" xr:uid="{00000000-0002-0000-0E00-000001000000}">
          <x14:formula1>
            <xm:f>Päästökertoimet!$H$2:$H$12</xm:f>
          </x14:formula1>
          <xm:sqref>B13:B19</xm:sqref>
        </x14:dataValidation>
        <x14:dataValidation type="list" showInputMessage="1" showErrorMessage="1" xr:uid="{00000000-0002-0000-0E00-000002000000}">
          <x14:formula1>
            <xm:f>Päästökertoimet!$K$2:$K$13</xm:f>
          </x14:formula1>
          <xm:sqref>B26:B32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B2:M45"/>
  <sheetViews>
    <sheetView workbookViewId="0"/>
  </sheetViews>
  <sheetFormatPr defaultColWidth="8.85546875" defaultRowHeight="15" x14ac:dyDescent="0.25"/>
  <cols>
    <col min="1" max="1" width="8.85546875" style="1"/>
    <col min="2" max="2" width="18" style="1" bestFit="1" customWidth="1"/>
    <col min="3" max="3" width="29.42578125" style="1" bestFit="1" customWidth="1"/>
    <col min="4" max="5" width="23.85546875" style="1" bestFit="1" customWidth="1"/>
    <col min="6" max="6" width="14.7109375" style="1" bestFit="1" customWidth="1"/>
    <col min="7" max="8" width="8.85546875" style="1"/>
    <col min="9" max="9" width="18" style="1" bestFit="1" customWidth="1"/>
    <col min="10" max="10" width="29.42578125" style="1" bestFit="1" customWidth="1"/>
    <col min="11" max="12" width="22.85546875" style="1" bestFit="1" customWidth="1"/>
    <col min="13" max="13" width="14.7109375" style="1" bestFit="1" customWidth="1"/>
    <col min="14" max="16384" width="8.85546875" style="1"/>
  </cols>
  <sheetData>
    <row r="2" spans="2:13" ht="15.75" x14ac:dyDescent="0.25">
      <c r="B2" s="136" t="s">
        <v>306</v>
      </c>
      <c r="C2" s="136"/>
      <c r="D2" s="136"/>
      <c r="E2" s="136"/>
      <c r="F2" s="136"/>
      <c r="G2" s="44"/>
      <c r="I2" s="136" t="s">
        <v>306</v>
      </c>
      <c r="J2" s="136"/>
      <c r="K2" s="136"/>
      <c r="L2" s="136"/>
      <c r="M2" s="136"/>
    </row>
    <row r="3" spans="2:13" ht="14.45" customHeight="1" x14ac:dyDescent="0.25">
      <c r="B3" s="135" t="s">
        <v>479</v>
      </c>
      <c r="C3" s="135"/>
      <c r="D3" s="135"/>
      <c r="E3" s="135"/>
      <c r="F3" s="135"/>
      <c r="G3" s="44"/>
      <c r="I3" s="135" t="s">
        <v>478</v>
      </c>
      <c r="J3" s="135"/>
      <c r="K3" s="135"/>
      <c r="L3" s="135"/>
      <c r="M3" s="135"/>
    </row>
    <row r="4" spans="2:13" ht="14.45" customHeight="1" x14ac:dyDescent="0.25">
      <c r="B4" s="135"/>
      <c r="C4" s="135"/>
      <c r="D4" s="135"/>
      <c r="E4" s="135"/>
      <c r="F4" s="135"/>
      <c r="G4" s="44"/>
      <c r="I4" s="135"/>
      <c r="J4" s="135"/>
      <c r="K4" s="135"/>
      <c r="L4" s="135"/>
      <c r="M4" s="135"/>
    </row>
    <row r="5" spans="2:13" x14ac:dyDescent="0.25">
      <c r="G5" s="44"/>
    </row>
    <row r="6" spans="2:13" x14ac:dyDescent="0.25">
      <c r="G6" s="44"/>
    </row>
    <row r="7" spans="2:13" ht="18.75" x14ac:dyDescent="0.3">
      <c r="B7" s="140" t="s">
        <v>84</v>
      </c>
      <c r="C7" s="140"/>
      <c r="D7" s="140"/>
      <c r="E7" s="140"/>
      <c r="F7" s="140"/>
      <c r="G7" s="44"/>
      <c r="I7" s="140" t="s">
        <v>85</v>
      </c>
      <c r="J7" s="140"/>
      <c r="K7" s="140"/>
      <c r="L7" s="140"/>
      <c r="M7" s="140"/>
    </row>
    <row r="8" spans="2:13" x14ac:dyDescent="0.25">
      <c r="G8" s="44"/>
    </row>
    <row r="9" spans="2:13" ht="15.75" thickBot="1" x14ac:dyDescent="0.3">
      <c r="G9" s="44"/>
    </row>
    <row r="10" spans="2:13" ht="18.75" thickBot="1" x14ac:dyDescent="0.4">
      <c r="B10" s="10" t="s">
        <v>110</v>
      </c>
      <c r="C10" s="10" t="s">
        <v>292</v>
      </c>
      <c r="D10" s="11" t="s">
        <v>293</v>
      </c>
      <c r="E10" s="10" t="s">
        <v>107</v>
      </c>
      <c r="F10" s="12" t="s">
        <v>60</v>
      </c>
      <c r="G10" s="44"/>
      <c r="I10" s="10" t="s">
        <v>110</v>
      </c>
      <c r="J10" s="10" t="s">
        <v>292</v>
      </c>
      <c r="K10" s="11" t="s">
        <v>293</v>
      </c>
      <c r="L10" s="10" t="s">
        <v>107</v>
      </c>
      <c r="M10" s="12" t="s">
        <v>60</v>
      </c>
    </row>
    <row r="11" spans="2:13" x14ac:dyDescent="0.25">
      <c r="B11" s="14"/>
      <c r="C11" s="42"/>
      <c r="D11" s="27"/>
      <c r="E11" s="5" t="str" cm="1">
        <f t="array" ref="E11">_xlfn.IFNA(INDEX(Päästökertoimet!$L$50:$L$69,MATCH(B11&amp;C11,Päästökertoimet!$J$50:$J$69&amp;Päästökertoimet!$K$50:$K$69,0)),"-")</f>
        <v>-</v>
      </c>
      <c r="F11" s="122">
        <f>IFERROR(D11*E11,0)</f>
        <v>0</v>
      </c>
      <c r="G11" s="44"/>
      <c r="I11" s="14"/>
      <c r="J11" s="42"/>
      <c r="K11" s="27"/>
      <c r="L11" s="5" t="str" cm="1">
        <f t="array" ref="L11">_xlfn.IFNA(INDEX(Päästökertoimet!$L$50:$L$69,MATCH(I11&amp;J11,Päästökertoimet!$J$50:$J$69&amp;Päästökertoimet!$K$50:$K$69,0)),"-")</f>
        <v>-</v>
      </c>
      <c r="M11" s="122">
        <f>IFERROR(K11*L11,0)</f>
        <v>0</v>
      </c>
    </row>
    <row r="12" spans="2:13" x14ac:dyDescent="0.25">
      <c r="B12" s="16"/>
      <c r="C12" s="43"/>
      <c r="D12" s="27"/>
      <c r="E12" s="5" t="str" cm="1">
        <f t="array" ref="E12">_xlfn.IFNA(INDEX(Päästökertoimet!$L$50:$L$69,MATCH(B12&amp;C12,Päästökertoimet!$J$50:$J$69&amp;Päästökertoimet!$K$50:$K$69,0)),"-")</f>
        <v>-</v>
      </c>
      <c r="F12" s="15">
        <f t="shared" ref="F12:F17" si="0">IFERROR(D12*E12,0)</f>
        <v>0</v>
      </c>
      <c r="G12" s="44"/>
      <c r="I12" s="16"/>
      <c r="J12" s="43"/>
      <c r="K12" s="27"/>
      <c r="L12" s="5" t="str" cm="1">
        <f t="array" ref="L12">_xlfn.IFNA(INDEX(Päästökertoimet!$L$50:$L$69,MATCH(I12&amp;J12,Päästökertoimet!$J$50:$J$69&amp;Päästökertoimet!$K$50:$K$69,0)),"-")</f>
        <v>-</v>
      </c>
      <c r="M12" s="15">
        <f t="shared" ref="M12:M17" si="1">IFERROR(K12*L12,0)</f>
        <v>0</v>
      </c>
    </row>
    <row r="13" spans="2:13" x14ac:dyDescent="0.25">
      <c r="B13" s="16"/>
      <c r="C13" s="43"/>
      <c r="D13" s="27"/>
      <c r="E13" s="5" t="str" cm="1">
        <f t="array" ref="E13">_xlfn.IFNA(INDEX(Päästökertoimet!$L$50:$L$69,MATCH(B13&amp;C13,Päästökertoimet!$J$50:$J$69&amp;Päästökertoimet!$K$50:$K$69,0)),"-")</f>
        <v>-</v>
      </c>
      <c r="F13" s="15">
        <f t="shared" si="0"/>
        <v>0</v>
      </c>
      <c r="G13" s="44"/>
      <c r="I13" s="16"/>
      <c r="J13" s="43"/>
      <c r="K13" s="27"/>
      <c r="L13" s="5" t="str" cm="1">
        <f t="array" ref="L13">_xlfn.IFNA(INDEX(Päästökertoimet!$L$50:$L$69,MATCH(I13&amp;J13,Päästökertoimet!$J$50:$J$69&amp;Päästökertoimet!$K$50:$K$69,0)),"-")</f>
        <v>-</v>
      </c>
      <c r="M13" s="15">
        <f t="shared" si="1"/>
        <v>0</v>
      </c>
    </row>
    <row r="14" spans="2:13" x14ac:dyDescent="0.25">
      <c r="B14" s="16"/>
      <c r="C14" s="43"/>
      <c r="D14" s="27"/>
      <c r="E14" s="5" t="str" cm="1">
        <f t="array" ref="E14">_xlfn.IFNA(INDEX(Päästökertoimet!$L$50:$L$69,MATCH(B14&amp;C14,Päästökertoimet!$J$50:$J$69&amp;Päästökertoimet!$K$50:$K$69,0)),"-")</f>
        <v>-</v>
      </c>
      <c r="F14" s="15">
        <f t="shared" si="0"/>
        <v>0</v>
      </c>
      <c r="G14" s="44"/>
      <c r="I14" s="16"/>
      <c r="J14" s="43"/>
      <c r="K14" s="27"/>
      <c r="L14" s="5" t="str" cm="1">
        <f t="array" ref="L14">_xlfn.IFNA(INDEX(Päästökertoimet!$L$50:$L$69,MATCH(I14&amp;J14,Päästökertoimet!$J$50:$J$69&amp;Päästökertoimet!$K$50:$K$69,0)),"-")</f>
        <v>-</v>
      </c>
      <c r="M14" s="15">
        <f t="shared" si="1"/>
        <v>0</v>
      </c>
    </row>
    <row r="15" spans="2:13" x14ac:dyDescent="0.25">
      <c r="B15" s="16"/>
      <c r="C15" s="43"/>
      <c r="D15" s="27"/>
      <c r="E15" s="5" t="str" cm="1">
        <f t="array" ref="E15">_xlfn.IFNA(INDEX(Päästökertoimet!$L$50:$L$69,MATCH(B15&amp;C15,Päästökertoimet!$J$50:$J$69&amp;Päästökertoimet!$K$50:$K$69,0)),"-")</f>
        <v>-</v>
      </c>
      <c r="F15" s="15">
        <f t="shared" si="0"/>
        <v>0</v>
      </c>
      <c r="G15" s="44"/>
      <c r="I15" s="16"/>
      <c r="J15" s="43"/>
      <c r="K15" s="27"/>
      <c r="L15" s="5" t="str" cm="1">
        <f t="array" ref="L15">_xlfn.IFNA(INDEX(Päästökertoimet!$L$50:$L$69,MATCH(I15&amp;J15,Päästökertoimet!$J$50:$J$69&amp;Päästökertoimet!$K$50:$K$69,0)),"-")</f>
        <v>-</v>
      </c>
      <c r="M15" s="15">
        <f t="shared" si="1"/>
        <v>0</v>
      </c>
    </row>
    <row r="16" spans="2:13" x14ac:dyDescent="0.25">
      <c r="B16" s="112"/>
      <c r="C16" s="113"/>
      <c r="D16" s="113"/>
      <c r="E16" s="119"/>
      <c r="F16" s="15">
        <f t="shared" si="0"/>
        <v>0</v>
      </c>
      <c r="G16" s="44"/>
      <c r="I16" s="112"/>
      <c r="J16" s="113"/>
      <c r="K16" s="113"/>
      <c r="L16" s="119"/>
      <c r="M16" s="15">
        <f t="shared" si="1"/>
        <v>0</v>
      </c>
    </row>
    <row r="17" spans="2:13" ht="15.75" thickBot="1" x14ac:dyDescent="0.3">
      <c r="B17" s="114"/>
      <c r="C17" s="115"/>
      <c r="D17" s="115"/>
      <c r="E17" s="120"/>
      <c r="F17" s="18">
        <f t="shared" si="0"/>
        <v>0</v>
      </c>
      <c r="G17" s="44"/>
      <c r="I17" s="114"/>
      <c r="J17" s="115"/>
      <c r="K17" s="115"/>
      <c r="L17" s="120"/>
      <c r="M17" s="18">
        <f t="shared" si="1"/>
        <v>0</v>
      </c>
    </row>
    <row r="18" spans="2:13" x14ac:dyDescent="0.25">
      <c r="C18" s="2"/>
      <c r="D18" s="2"/>
      <c r="E18" s="2"/>
      <c r="F18" s="2"/>
      <c r="G18" s="44"/>
      <c r="J18" s="2"/>
      <c r="K18" s="2"/>
      <c r="L18" s="2"/>
      <c r="M18" s="2"/>
    </row>
    <row r="19" spans="2:13" ht="15.75" thickBot="1" x14ac:dyDescent="0.3">
      <c r="C19" s="2"/>
      <c r="D19" s="2"/>
      <c r="E19" s="2"/>
      <c r="F19" s="2"/>
      <c r="G19" s="44"/>
      <c r="J19" s="2"/>
      <c r="K19" s="2"/>
      <c r="L19" s="2"/>
      <c r="M19" s="2"/>
    </row>
    <row r="20" spans="2:13" ht="18.75" thickBot="1" x14ac:dyDescent="0.4">
      <c r="C20" s="11" t="s">
        <v>300</v>
      </c>
      <c r="D20" s="11" t="s">
        <v>301</v>
      </c>
      <c r="E20" s="10" t="s">
        <v>107</v>
      </c>
      <c r="F20" s="10" t="s">
        <v>60</v>
      </c>
      <c r="G20" s="44"/>
      <c r="J20" s="11" t="s">
        <v>300</v>
      </c>
      <c r="K20" s="11" t="s">
        <v>301</v>
      </c>
      <c r="L20" s="10" t="s">
        <v>107</v>
      </c>
      <c r="M20" s="10" t="s">
        <v>60</v>
      </c>
    </row>
    <row r="21" spans="2:13" x14ac:dyDescent="0.25">
      <c r="C21" s="16"/>
      <c r="D21" s="27"/>
      <c r="E21" s="13" t="str">
        <f>_xlfn.IFNA(VLOOKUP(C21,Päästökertoimet!$N$57:$O$62,2,FALSE),"-")</f>
        <v>-</v>
      </c>
      <c r="F21" s="23">
        <f t="shared" ref="F21:F26" si="2">IFERROR(D21*E21,0)</f>
        <v>0</v>
      </c>
      <c r="G21" s="44"/>
      <c r="J21" s="16"/>
      <c r="K21" s="27"/>
      <c r="L21" s="13" t="str">
        <f>_xlfn.IFNA(VLOOKUP(J21,Päästökertoimet!$N$57:$O$62,2,FALSE),"-")</f>
        <v>-</v>
      </c>
      <c r="M21" s="23">
        <f t="shared" ref="M21:M26" si="3">IFERROR(K21*L21,0)</f>
        <v>0</v>
      </c>
    </row>
    <row r="22" spans="2:13" x14ac:dyDescent="0.25">
      <c r="C22" s="16"/>
      <c r="D22" s="27"/>
      <c r="E22" s="7" t="str">
        <f>_xlfn.IFNA(VLOOKUP(C22,Päästökertoimet!$N$57:$O$62,2,FALSE),"-")</f>
        <v>-</v>
      </c>
      <c r="F22" s="23">
        <f t="shared" si="2"/>
        <v>0</v>
      </c>
      <c r="G22" s="44"/>
      <c r="J22" s="16"/>
      <c r="K22" s="27"/>
      <c r="L22" s="7" t="str">
        <f>_xlfn.IFNA(VLOOKUP(J22,Päästökertoimet!$N$57:$O$62,2,FALSE),"-")</f>
        <v>-</v>
      </c>
      <c r="M22" s="23">
        <f t="shared" si="3"/>
        <v>0</v>
      </c>
    </row>
    <row r="23" spans="2:13" x14ac:dyDescent="0.25">
      <c r="C23" s="16"/>
      <c r="D23" s="27"/>
      <c r="E23" s="7" t="str">
        <f>_xlfn.IFNA(VLOOKUP(C23,Päästökertoimet!$N$57:$O$62,2,FALSE),"-")</f>
        <v>-</v>
      </c>
      <c r="F23" s="23">
        <f t="shared" si="2"/>
        <v>0</v>
      </c>
      <c r="G23" s="44"/>
      <c r="J23" s="16"/>
      <c r="K23" s="27"/>
      <c r="L23" s="7" t="str">
        <f>_xlfn.IFNA(VLOOKUP(J23,Päästökertoimet!$N$57:$O$62,2,FALSE),"-")</f>
        <v>-</v>
      </c>
      <c r="M23" s="23">
        <f t="shared" si="3"/>
        <v>0</v>
      </c>
    </row>
    <row r="24" spans="2:13" x14ac:dyDescent="0.25">
      <c r="C24" s="16"/>
      <c r="D24" s="27"/>
      <c r="E24" s="7" t="str">
        <f>_xlfn.IFNA(VLOOKUP(C24,Päästökertoimet!$N$57:$O$62,2,FALSE),"-")</f>
        <v>-</v>
      </c>
      <c r="F24" s="23">
        <f t="shared" si="2"/>
        <v>0</v>
      </c>
      <c r="G24" s="44"/>
      <c r="J24" s="16"/>
      <c r="K24" s="27"/>
      <c r="L24" s="7" t="str">
        <f>_xlfn.IFNA(VLOOKUP(J24,Päästökertoimet!$N$57:$O$62,2,FALSE),"-")</f>
        <v>-</v>
      </c>
      <c r="M24" s="23">
        <f t="shared" si="3"/>
        <v>0</v>
      </c>
    </row>
    <row r="25" spans="2:13" x14ac:dyDescent="0.25">
      <c r="C25" s="112"/>
      <c r="D25" s="113"/>
      <c r="E25" s="113"/>
      <c r="F25" s="23">
        <f t="shared" si="2"/>
        <v>0</v>
      </c>
      <c r="G25" s="44"/>
      <c r="J25" s="112"/>
      <c r="K25" s="113"/>
      <c r="L25" s="113"/>
      <c r="M25" s="23">
        <f t="shared" si="3"/>
        <v>0</v>
      </c>
    </row>
    <row r="26" spans="2:13" ht="15.75" thickBot="1" x14ac:dyDescent="0.3">
      <c r="C26" s="114"/>
      <c r="D26" s="115"/>
      <c r="E26" s="115"/>
      <c r="F26" s="24">
        <f t="shared" si="2"/>
        <v>0</v>
      </c>
      <c r="G26" s="44"/>
      <c r="J26" s="114"/>
      <c r="K26" s="115"/>
      <c r="L26" s="115"/>
      <c r="M26" s="24">
        <f t="shared" si="3"/>
        <v>0</v>
      </c>
    </row>
    <row r="27" spans="2:13" x14ac:dyDescent="0.25">
      <c r="G27" s="44"/>
    </row>
    <row r="28" spans="2:13" x14ac:dyDescent="0.25">
      <c r="G28" s="44"/>
    </row>
    <row r="29" spans="2:13" ht="15.75" thickBot="1" x14ac:dyDescent="0.3">
      <c r="G29" s="44"/>
    </row>
    <row r="30" spans="2:13" ht="18.75" thickBot="1" x14ac:dyDescent="0.4">
      <c r="C30" s="10" t="s">
        <v>110</v>
      </c>
      <c r="D30" s="10" t="s">
        <v>111</v>
      </c>
      <c r="E30" s="10" t="s">
        <v>58</v>
      </c>
      <c r="F30" s="10" t="s">
        <v>60</v>
      </c>
      <c r="G30" s="44"/>
      <c r="J30" s="10" t="s">
        <v>110</v>
      </c>
      <c r="K30" s="10" t="s">
        <v>111</v>
      </c>
      <c r="L30" s="10" t="s">
        <v>58</v>
      </c>
      <c r="M30" s="10" t="s">
        <v>60</v>
      </c>
    </row>
    <row r="31" spans="2:13" x14ac:dyDescent="0.25">
      <c r="C31" s="14"/>
      <c r="D31" s="34"/>
      <c r="E31" s="13" t="str">
        <f>_xlfn.IFNA(VLOOKUP(C31,Päästökertoimet!$E$2:$F$6,2,FALSE),"-")</f>
        <v>-</v>
      </c>
      <c r="F31" s="23">
        <f>IF(D31&gt;0,E31*D31,0)</f>
        <v>0</v>
      </c>
      <c r="G31" s="44"/>
      <c r="J31" s="14"/>
      <c r="K31" s="34"/>
      <c r="L31" s="13" t="str">
        <f>_xlfn.IFNA(VLOOKUP(J31,Päästökertoimet!$E$2:$F$6,2,FALSE),"-")</f>
        <v>-</v>
      </c>
      <c r="M31" s="23">
        <f>IF(K31&gt;0,L31*K31,0)</f>
        <v>0</v>
      </c>
    </row>
    <row r="32" spans="2:13" x14ac:dyDescent="0.25">
      <c r="C32" s="16"/>
      <c r="D32" s="27"/>
      <c r="E32" s="7" t="str">
        <f>_xlfn.IFNA(VLOOKUP(C32,Päästökertoimet!$E$2:$F$6,2,FALSE),"-")</f>
        <v>-</v>
      </c>
      <c r="F32" s="23">
        <f t="shared" ref="F32:F36" si="4">IF(D32&gt;0,E32*D32,0)</f>
        <v>0</v>
      </c>
      <c r="G32" s="44"/>
      <c r="J32" s="16"/>
      <c r="K32" s="27"/>
      <c r="L32" s="7" t="str">
        <f>_xlfn.IFNA(VLOOKUP(J32,Päästökertoimet!$E$2:$F$6,2,FALSE),"-")</f>
        <v>-</v>
      </c>
      <c r="M32" s="23">
        <f t="shared" ref="M32:M36" si="5">IF(K32&gt;0,L32*K32,0)</f>
        <v>0</v>
      </c>
    </row>
    <row r="33" spans="3:13" x14ac:dyDescent="0.25">
      <c r="C33" s="16"/>
      <c r="D33" s="27"/>
      <c r="E33" s="7" t="str">
        <f>_xlfn.IFNA(VLOOKUP(C33,Päästökertoimet!$E$2:$F$6,2,FALSE),"-")</f>
        <v>-</v>
      </c>
      <c r="F33" s="23">
        <f t="shared" si="4"/>
        <v>0</v>
      </c>
      <c r="G33" s="44"/>
      <c r="J33" s="16"/>
      <c r="K33" s="27"/>
      <c r="L33" s="7" t="str">
        <f>_xlfn.IFNA(VLOOKUP(J33,Päästökertoimet!$E$2:$F$6,2,FALSE),"-")</f>
        <v>-</v>
      </c>
      <c r="M33" s="23">
        <f t="shared" si="5"/>
        <v>0</v>
      </c>
    </row>
    <row r="34" spans="3:13" x14ac:dyDescent="0.25">
      <c r="C34" s="16"/>
      <c r="D34" s="27"/>
      <c r="E34" s="7" t="str">
        <f>_xlfn.IFNA(VLOOKUP(C34,Päästökertoimet!$E$2:$F$6,2,FALSE),"-")</f>
        <v>-</v>
      </c>
      <c r="F34" s="23">
        <f t="shared" si="4"/>
        <v>0</v>
      </c>
      <c r="G34" s="44"/>
      <c r="J34" s="16"/>
      <c r="K34" s="27"/>
      <c r="L34" s="7" t="str">
        <f>_xlfn.IFNA(VLOOKUP(J34,Päästökertoimet!$E$2:$F$6,2,FALSE),"-")</f>
        <v>-</v>
      </c>
      <c r="M34" s="23">
        <f t="shared" si="5"/>
        <v>0</v>
      </c>
    </row>
    <row r="35" spans="3:13" x14ac:dyDescent="0.25">
      <c r="C35" s="112"/>
      <c r="D35" s="113"/>
      <c r="E35" s="113"/>
      <c r="F35" s="23">
        <f t="shared" si="4"/>
        <v>0</v>
      </c>
      <c r="G35" s="44"/>
      <c r="J35" s="112"/>
      <c r="K35" s="113"/>
      <c r="L35" s="113"/>
      <c r="M35" s="23">
        <f t="shared" si="5"/>
        <v>0</v>
      </c>
    </row>
    <row r="36" spans="3:13" ht="15.75" thickBot="1" x14ac:dyDescent="0.3">
      <c r="C36" s="114"/>
      <c r="D36" s="115"/>
      <c r="E36" s="115"/>
      <c r="F36" s="24">
        <f t="shared" si="4"/>
        <v>0</v>
      </c>
      <c r="G36" s="44"/>
      <c r="J36" s="114"/>
      <c r="K36" s="115"/>
      <c r="L36" s="115"/>
      <c r="M36" s="24">
        <f t="shared" si="5"/>
        <v>0</v>
      </c>
    </row>
    <row r="37" spans="3:13" x14ac:dyDescent="0.25">
      <c r="G37" s="44"/>
    </row>
    <row r="38" spans="3:13" ht="15.75" thickBot="1" x14ac:dyDescent="0.3">
      <c r="G38" s="44"/>
    </row>
    <row r="39" spans="3:13" ht="18.75" thickBot="1" x14ac:dyDescent="0.4">
      <c r="C39" s="10" t="s">
        <v>110</v>
      </c>
      <c r="D39" s="10" t="s">
        <v>236</v>
      </c>
      <c r="E39" s="10" t="s">
        <v>58</v>
      </c>
      <c r="F39" s="10" t="s">
        <v>60</v>
      </c>
      <c r="G39" s="44"/>
      <c r="J39" s="10" t="s">
        <v>110</v>
      </c>
      <c r="K39" s="10" t="s">
        <v>236</v>
      </c>
      <c r="L39" s="10" t="s">
        <v>58</v>
      </c>
      <c r="M39" s="10" t="s">
        <v>60</v>
      </c>
    </row>
    <row r="40" spans="3:13" x14ac:dyDescent="0.25">
      <c r="C40" s="14"/>
      <c r="D40" s="34"/>
      <c r="E40" s="7" t="str">
        <f>_xlfn.IFNA(VLOOKUP(C40,Päästökertoimet!$E$38:$F$41,2,FALSE),"-")</f>
        <v>-</v>
      </c>
      <c r="F40" s="23">
        <f t="shared" ref="F40:F45" si="6">IF(D40&gt;0,E40*D40,0)</f>
        <v>0</v>
      </c>
      <c r="G40" s="44"/>
      <c r="J40" s="14"/>
      <c r="K40" s="34"/>
      <c r="L40" s="7" t="str">
        <f>_xlfn.IFNA(VLOOKUP(J40,Päästökertoimet!$E$38:$F$41,2,FALSE),"-")</f>
        <v>-</v>
      </c>
      <c r="M40" s="23">
        <f t="shared" ref="M40:M45" si="7">IF(K40&gt;0,L40*K40,0)</f>
        <v>0</v>
      </c>
    </row>
    <row r="41" spans="3:13" x14ac:dyDescent="0.25">
      <c r="C41" s="16"/>
      <c r="D41" s="27"/>
      <c r="E41" s="7" t="str">
        <f>_xlfn.IFNA(VLOOKUP(C41,Päästökertoimet!$E$38:$F$41,2,FALSE),"-")</f>
        <v>-</v>
      </c>
      <c r="F41" s="23">
        <f t="shared" si="6"/>
        <v>0</v>
      </c>
      <c r="G41" s="44"/>
      <c r="J41" s="16"/>
      <c r="K41" s="27"/>
      <c r="L41" s="7" t="str">
        <f>_xlfn.IFNA(VLOOKUP(J41,Päästökertoimet!$E$38:$F$41,2,FALSE),"-")</f>
        <v>-</v>
      </c>
      <c r="M41" s="23">
        <f t="shared" si="7"/>
        <v>0</v>
      </c>
    </row>
    <row r="42" spans="3:13" x14ac:dyDescent="0.25">
      <c r="C42" s="16"/>
      <c r="D42" s="27"/>
      <c r="E42" s="7" t="str">
        <f>_xlfn.IFNA(VLOOKUP(C42,Päästökertoimet!$E$38:$F$41,2,FALSE),"-")</f>
        <v>-</v>
      </c>
      <c r="F42" s="23">
        <f t="shared" si="6"/>
        <v>0</v>
      </c>
      <c r="G42" s="44"/>
      <c r="J42" s="16"/>
      <c r="K42" s="27"/>
      <c r="L42" s="7" t="str">
        <f>_xlfn.IFNA(VLOOKUP(J42,Päästökertoimet!$E$38:$F$41,2,FALSE),"-")</f>
        <v>-</v>
      </c>
      <c r="M42" s="23">
        <f t="shared" si="7"/>
        <v>0</v>
      </c>
    </row>
    <row r="43" spans="3:13" x14ac:dyDescent="0.25">
      <c r="C43" s="16"/>
      <c r="D43" s="27"/>
      <c r="E43" s="7" t="str">
        <f>_xlfn.IFNA(VLOOKUP(C43,Päästökertoimet!$E$38:$F$41,2,FALSE),"-")</f>
        <v>-</v>
      </c>
      <c r="F43" s="23">
        <f t="shared" si="6"/>
        <v>0</v>
      </c>
      <c r="G43" s="44"/>
      <c r="J43" s="16"/>
      <c r="K43" s="27"/>
      <c r="L43" s="7" t="str">
        <f>_xlfn.IFNA(VLOOKUP(J43,Päästökertoimet!$E$38:$F$41,2,FALSE),"-")</f>
        <v>-</v>
      </c>
      <c r="M43" s="23">
        <f t="shared" si="7"/>
        <v>0</v>
      </c>
    </row>
    <row r="44" spans="3:13" x14ac:dyDescent="0.25">
      <c r="C44" s="112"/>
      <c r="D44" s="113"/>
      <c r="E44" s="113"/>
      <c r="F44" s="23">
        <f t="shared" si="6"/>
        <v>0</v>
      </c>
      <c r="G44" s="44"/>
      <c r="J44" s="112"/>
      <c r="K44" s="113"/>
      <c r="L44" s="113"/>
      <c r="M44" s="23">
        <f t="shared" si="7"/>
        <v>0</v>
      </c>
    </row>
    <row r="45" spans="3:13" ht="15.75" thickBot="1" x14ac:dyDescent="0.3">
      <c r="C45" s="114"/>
      <c r="D45" s="115"/>
      <c r="E45" s="115"/>
      <c r="F45" s="24">
        <f t="shared" si="6"/>
        <v>0</v>
      </c>
      <c r="G45" s="44"/>
      <c r="J45" s="114"/>
      <c r="K45" s="115"/>
      <c r="L45" s="115"/>
      <c r="M45" s="24">
        <f t="shared" si="7"/>
        <v>0</v>
      </c>
    </row>
  </sheetData>
  <mergeCells count="6">
    <mergeCell ref="B2:F2"/>
    <mergeCell ref="I2:M2"/>
    <mergeCell ref="B3:F4"/>
    <mergeCell ref="I3:M4"/>
    <mergeCell ref="B7:F7"/>
    <mergeCell ref="I7:M7"/>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showInputMessage="1" showErrorMessage="1" xr:uid="{00000000-0002-0000-0F00-000000000000}">
          <x14:formula1>
            <xm:f>Päästökertoimet!$E$38:$E$41</xm:f>
          </x14:formula1>
          <xm:sqref>C40:C43 J40:J43</xm:sqref>
        </x14:dataValidation>
        <x14:dataValidation type="list" showInputMessage="1" showErrorMessage="1" xr:uid="{00000000-0002-0000-0F00-000001000000}">
          <x14:formula1>
            <xm:f>Päästökertoimet!$E$2:$E$6</xm:f>
          </x14:formula1>
          <xm:sqref>C31:C34 J31:J34</xm:sqref>
        </x14:dataValidation>
        <x14:dataValidation type="list" showInputMessage="1" showErrorMessage="1" xr:uid="{00000000-0002-0000-0F00-000002000000}">
          <x14:formula1>
            <xm:f>Päästökertoimet!$J$49:$J$53</xm:f>
          </x14:formula1>
          <xm:sqref>B11:B15 I11:I15</xm:sqref>
        </x14:dataValidation>
        <x14:dataValidation type="list" showInputMessage="1" showErrorMessage="1" xr:uid="{00000000-0002-0000-0F00-000003000000}">
          <x14:formula1>
            <xm:f>Päästökertoimet!$N$49:$N$54</xm:f>
          </x14:formula1>
          <xm:sqref>C11:C15 J11:J15</xm:sqref>
        </x14:dataValidation>
        <x14:dataValidation type="list" showInputMessage="1" showErrorMessage="1" xr:uid="{00000000-0002-0000-0F00-000004000000}">
          <x14:formula1>
            <xm:f>Päästökertoimet!$N$56:$N$62</xm:f>
          </x14:formula1>
          <xm:sqref>C21:C24 J21:J24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ul4">
    <tabColor rgb="FF0070C0"/>
  </sheetPr>
  <dimension ref="B2:K61"/>
  <sheetViews>
    <sheetView zoomScaleNormal="100" workbookViewId="0"/>
  </sheetViews>
  <sheetFormatPr defaultColWidth="9.28515625" defaultRowHeight="15" x14ac:dyDescent="0.25"/>
  <cols>
    <col min="1" max="1" width="9.28515625" style="1"/>
    <col min="2" max="2" width="36.28515625" style="2" bestFit="1" customWidth="1"/>
    <col min="3" max="4" width="24.42578125" style="2" customWidth="1"/>
    <col min="5" max="5" width="15.28515625" style="2" customWidth="1"/>
    <col min="6" max="6" width="15.28515625" style="1" customWidth="1"/>
    <col min="7" max="7" width="22.42578125" style="2" bestFit="1" customWidth="1"/>
    <col min="8" max="8" width="16.7109375" style="2" bestFit="1" customWidth="1"/>
    <col min="9" max="9" width="30.5703125" style="2" bestFit="1" customWidth="1"/>
    <col min="10" max="10" width="15.28515625" style="2" bestFit="1" customWidth="1"/>
    <col min="11" max="16384" width="9.28515625" style="1"/>
  </cols>
  <sheetData>
    <row r="2" spans="2:11" ht="15.75" x14ac:dyDescent="0.25">
      <c r="D2" s="136" t="s">
        <v>306</v>
      </c>
      <c r="E2" s="136"/>
      <c r="F2" s="136"/>
      <c r="G2" s="136"/>
      <c r="H2" s="136"/>
    </row>
    <row r="3" spans="2:11" x14ac:dyDescent="0.25">
      <c r="D3" s="135" t="s">
        <v>311</v>
      </c>
      <c r="E3" s="135"/>
      <c r="F3" s="135"/>
      <c r="G3" s="135"/>
      <c r="H3" s="135"/>
    </row>
    <row r="4" spans="2:11" x14ac:dyDescent="0.25">
      <c r="D4" s="135"/>
      <c r="E4" s="135"/>
      <c r="F4" s="135"/>
      <c r="G4" s="135"/>
      <c r="H4" s="135"/>
    </row>
    <row r="5" spans="2:11" ht="18.75" x14ac:dyDescent="0.3">
      <c r="B5" s="1"/>
      <c r="C5" s="131"/>
      <c r="D5" s="137" t="s">
        <v>1171</v>
      </c>
      <c r="E5" s="137"/>
      <c r="F5" s="137"/>
      <c r="G5" s="137"/>
      <c r="H5" s="137"/>
      <c r="I5" s="131"/>
      <c r="J5" s="131"/>
      <c r="K5" s="131"/>
    </row>
    <row r="6" spans="2:11" ht="19.5" thickBot="1" x14ac:dyDescent="0.35">
      <c r="B6" s="129"/>
      <c r="C6" s="129"/>
      <c r="D6" s="129"/>
      <c r="E6" s="129"/>
      <c r="F6" s="129"/>
      <c r="G6" s="129"/>
      <c r="H6" s="129"/>
      <c r="I6" s="129"/>
      <c r="J6" s="129"/>
      <c r="K6" s="129"/>
    </row>
    <row r="7" spans="2:11" ht="18.75" thickBot="1" x14ac:dyDescent="0.4">
      <c r="B7" s="10" t="s">
        <v>1</v>
      </c>
      <c r="C7" s="10" t="s">
        <v>59</v>
      </c>
      <c r="D7" s="10" t="s">
        <v>58</v>
      </c>
      <c r="E7" s="10" t="s">
        <v>60</v>
      </c>
      <c r="G7" s="11" t="s">
        <v>105</v>
      </c>
      <c r="H7" s="10" t="s">
        <v>106</v>
      </c>
      <c r="I7" s="10" t="s">
        <v>107</v>
      </c>
      <c r="J7" s="10" t="s">
        <v>60</v>
      </c>
    </row>
    <row r="8" spans="2:11" x14ac:dyDescent="0.25">
      <c r="B8" s="19"/>
      <c r="C8" s="34"/>
      <c r="D8" s="7" t="str">
        <f>_xlfn.IFNA(VLOOKUP(B8,Päästökertoimet!$A$2:$B$56,2,FALSE),"-")</f>
        <v>-</v>
      </c>
      <c r="E8" s="15">
        <f>IF(C8&gt;0,D8*C8,0)</f>
        <v>0</v>
      </c>
      <c r="G8" s="32"/>
      <c r="H8" s="34"/>
      <c r="I8" s="5" t="str">
        <f>_xlfn.IFNA(VLOOKUP(G8,Päästökertoimet!$A$61:$B$79,2,FALSE),"-")</f>
        <v>-</v>
      </c>
      <c r="J8" s="15">
        <f>IF(H8&gt;0,I8*H8,0)</f>
        <v>0</v>
      </c>
    </row>
    <row r="9" spans="2:11" x14ac:dyDescent="0.25">
      <c r="B9" s="20"/>
      <c r="C9" s="27"/>
      <c r="D9" s="7" t="str">
        <f>_xlfn.IFNA(VLOOKUP(B9,Päästökertoimet!$A$2:$B$56,2,FALSE),"-")</f>
        <v>-</v>
      </c>
      <c r="E9" s="15">
        <f>IF(C9&gt;0,D9*C9,0)</f>
        <v>0</v>
      </c>
      <c r="G9" s="33"/>
      <c r="H9" s="27"/>
      <c r="I9" s="5" t="str">
        <f>_xlfn.IFNA(VLOOKUP(G9,Päästökertoimet!$A$61:$B$79,2,FALSE),"-")</f>
        <v>-</v>
      </c>
      <c r="J9" s="15">
        <f t="shared" ref="J9:J25" si="0">IF(H9&gt;0,I9*H9,0)</f>
        <v>0</v>
      </c>
    </row>
    <row r="10" spans="2:11" x14ac:dyDescent="0.25">
      <c r="B10" s="20"/>
      <c r="C10" s="27"/>
      <c r="D10" s="7" t="str">
        <f>_xlfn.IFNA(VLOOKUP(B10,Päästökertoimet!$A$2:$B$56,2,FALSE),"-")</f>
        <v>-</v>
      </c>
      <c r="E10" s="15">
        <f>IF(C10&gt;0,D10*C10,0)</f>
        <v>0</v>
      </c>
      <c r="G10" s="33"/>
      <c r="H10" s="27"/>
      <c r="I10" s="5" t="str">
        <f>_xlfn.IFNA(VLOOKUP(G10,Päästökertoimet!$A$61:$B$79,2,FALSE),"-")</f>
        <v>-</v>
      </c>
      <c r="J10" s="15">
        <f t="shared" si="0"/>
        <v>0</v>
      </c>
    </row>
    <row r="11" spans="2:11" x14ac:dyDescent="0.25">
      <c r="B11" s="20"/>
      <c r="C11" s="27"/>
      <c r="D11" s="7" t="str">
        <f>_xlfn.IFNA(VLOOKUP(B11,Päästökertoimet!$A$2:$B$56,2,FALSE),"-")</f>
        <v>-</v>
      </c>
      <c r="E11" s="15">
        <f>IF(C11&gt;0,D11*C11,0)</f>
        <v>0</v>
      </c>
      <c r="G11" s="33"/>
      <c r="H11" s="27"/>
      <c r="I11" s="5" t="str">
        <f>_xlfn.IFNA(VLOOKUP(G11,Päästökertoimet!$A$61:$B$79,2,FALSE),"-")</f>
        <v>-</v>
      </c>
      <c r="J11" s="15">
        <f t="shared" si="0"/>
        <v>0</v>
      </c>
    </row>
    <row r="12" spans="2:11" x14ac:dyDescent="0.25">
      <c r="B12" s="20"/>
      <c r="C12" s="27"/>
      <c r="D12" s="7" t="str">
        <f>_xlfn.IFNA(VLOOKUP(B12,Päästökertoimet!$A$2:$B$56,2,FALSE),"-")</f>
        <v>-</v>
      </c>
      <c r="E12" s="15">
        <f t="shared" ref="E12:E32" si="1">IF(C12&gt;0,D12*C12,0)</f>
        <v>0</v>
      </c>
      <c r="G12" s="33"/>
      <c r="H12" s="27"/>
      <c r="I12" s="5" t="str">
        <f>_xlfn.IFNA(VLOOKUP(G12,Päästökertoimet!$A$61:$B$79,2,FALSE),"-")</f>
        <v>-</v>
      </c>
      <c r="J12" s="15">
        <f t="shared" si="0"/>
        <v>0</v>
      </c>
    </row>
    <row r="13" spans="2:11" x14ac:dyDescent="0.25">
      <c r="B13" s="20"/>
      <c r="C13" s="27"/>
      <c r="D13" s="7" t="str">
        <f>_xlfn.IFNA(VLOOKUP(B13,Päästökertoimet!$A$2:$B$56,2,FALSE),"-")</f>
        <v>-</v>
      </c>
      <c r="E13" s="15">
        <f t="shared" si="1"/>
        <v>0</v>
      </c>
      <c r="G13" s="33"/>
      <c r="H13" s="27"/>
      <c r="I13" s="5" t="str">
        <f>_xlfn.IFNA(VLOOKUP(G13,Päästökertoimet!$A$61:$B$79,2,FALSE),"-")</f>
        <v>-</v>
      </c>
      <c r="J13" s="15">
        <f t="shared" si="0"/>
        <v>0</v>
      </c>
    </row>
    <row r="14" spans="2:11" x14ac:dyDescent="0.25">
      <c r="B14" s="20"/>
      <c r="C14" s="27"/>
      <c r="D14" s="7" t="str">
        <f>_xlfn.IFNA(VLOOKUP(B14,Päästökertoimet!$A$2:$B$56,2,FALSE),"-")</f>
        <v>-</v>
      </c>
      <c r="E14" s="15">
        <f t="shared" si="1"/>
        <v>0</v>
      </c>
      <c r="G14" s="33"/>
      <c r="H14" s="27"/>
      <c r="I14" s="5" t="str">
        <f>_xlfn.IFNA(VLOOKUP(G14,Päästökertoimet!$A$61:$B$79,2,FALSE),"-")</f>
        <v>-</v>
      </c>
      <c r="J14" s="15">
        <f t="shared" si="0"/>
        <v>0</v>
      </c>
    </row>
    <row r="15" spans="2:11" x14ac:dyDescent="0.25">
      <c r="B15" s="20"/>
      <c r="C15" s="27"/>
      <c r="D15" s="7" t="str">
        <f>_xlfn.IFNA(VLOOKUP(B15,Päästökertoimet!$A$2:$B$56,2,FALSE),"-")</f>
        <v>-</v>
      </c>
      <c r="E15" s="15">
        <f t="shared" si="1"/>
        <v>0</v>
      </c>
      <c r="G15" s="33"/>
      <c r="H15" s="27"/>
      <c r="I15" s="5" t="str">
        <f>_xlfn.IFNA(VLOOKUP(G15,Päästökertoimet!$A$61:$B$79,2,FALSE),"-")</f>
        <v>-</v>
      </c>
      <c r="J15" s="15">
        <f t="shared" si="0"/>
        <v>0</v>
      </c>
    </row>
    <row r="16" spans="2:11" x14ac:dyDescent="0.25">
      <c r="B16" s="20"/>
      <c r="C16" s="27"/>
      <c r="D16" s="7" t="str">
        <f>_xlfn.IFNA(VLOOKUP(B16,Päästökertoimet!$A$2:$B$56,2,FALSE),"-")</f>
        <v>-</v>
      </c>
      <c r="E16" s="15">
        <f t="shared" si="1"/>
        <v>0</v>
      </c>
      <c r="G16" s="33"/>
      <c r="H16" s="27"/>
      <c r="I16" s="5" t="str">
        <f>_xlfn.IFNA(VLOOKUP(G16,Päästökertoimet!$A$61:$B$79,2,FALSE),"-")</f>
        <v>-</v>
      </c>
      <c r="J16" s="15">
        <f t="shared" si="0"/>
        <v>0</v>
      </c>
    </row>
    <row r="17" spans="2:10" x14ac:dyDescent="0.25">
      <c r="B17" s="20"/>
      <c r="C17" s="27"/>
      <c r="D17" s="7" t="str">
        <f>_xlfn.IFNA(VLOOKUP(B17,Päästökertoimet!$A$2:$B$56,2,FALSE),"-")</f>
        <v>-</v>
      </c>
      <c r="E17" s="15">
        <f t="shared" si="1"/>
        <v>0</v>
      </c>
      <c r="G17" s="33"/>
      <c r="H17" s="27"/>
      <c r="I17" s="5" t="str">
        <f>_xlfn.IFNA(VLOOKUP(G17,Päästökertoimet!$A$61:$B$79,2,FALSE),"-")</f>
        <v>-</v>
      </c>
      <c r="J17" s="15">
        <f t="shared" si="0"/>
        <v>0</v>
      </c>
    </row>
    <row r="18" spans="2:10" x14ac:dyDescent="0.25">
      <c r="B18" s="20"/>
      <c r="C18" s="27"/>
      <c r="D18" s="7" t="str">
        <f>_xlfn.IFNA(VLOOKUP(B18,Päästökertoimet!$A$2:$B$56,2,FALSE),"-")</f>
        <v>-</v>
      </c>
      <c r="E18" s="15">
        <f t="shared" si="1"/>
        <v>0</v>
      </c>
      <c r="G18" s="33"/>
      <c r="H18" s="27"/>
      <c r="I18" s="5" t="str">
        <f>_xlfn.IFNA(VLOOKUP(G18,Päästökertoimet!$A$61:$B$79,2,FALSE),"-")</f>
        <v>-</v>
      </c>
      <c r="J18" s="15">
        <f t="shared" si="0"/>
        <v>0</v>
      </c>
    </row>
    <row r="19" spans="2:10" x14ac:dyDescent="0.25">
      <c r="B19" s="20"/>
      <c r="C19" s="27"/>
      <c r="D19" s="7" t="str">
        <f>_xlfn.IFNA(VLOOKUP(B19,Päästökertoimet!$A$2:$B$56,2,FALSE),"-")</f>
        <v>-</v>
      </c>
      <c r="E19" s="15">
        <f t="shared" si="1"/>
        <v>0</v>
      </c>
      <c r="G19" s="33"/>
      <c r="H19" s="27"/>
      <c r="I19" s="5" t="str">
        <f>_xlfn.IFNA(VLOOKUP(G19,Päästökertoimet!$A$61:$B$79,2,FALSE),"-")</f>
        <v>-</v>
      </c>
      <c r="J19" s="15">
        <f t="shared" si="0"/>
        <v>0</v>
      </c>
    </row>
    <row r="20" spans="2:10" x14ac:dyDescent="0.25">
      <c r="B20" s="20"/>
      <c r="C20" s="27"/>
      <c r="D20" s="7" t="str">
        <f>_xlfn.IFNA(VLOOKUP(B20,Päästökertoimet!$A$2:$B$56,2,FALSE),"-")</f>
        <v>-</v>
      </c>
      <c r="E20" s="15">
        <f t="shared" si="1"/>
        <v>0</v>
      </c>
      <c r="G20" s="33"/>
      <c r="H20" s="27"/>
      <c r="I20" s="5" t="str">
        <f>_xlfn.IFNA(VLOOKUP(G20,Päästökertoimet!$A$61:$B$79,2,FALSE),"-")</f>
        <v>-</v>
      </c>
      <c r="J20" s="15">
        <f t="shared" si="0"/>
        <v>0</v>
      </c>
    </row>
    <row r="21" spans="2:10" x14ac:dyDescent="0.25">
      <c r="B21" s="20"/>
      <c r="C21" s="27"/>
      <c r="D21" s="7" t="str">
        <f>_xlfn.IFNA(VLOOKUP(B21,Päästökertoimet!$A$2:$B$56,2,FALSE),"-")</f>
        <v>-</v>
      </c>
      <c r="E21" s="15">
        <f t="shared" si="1"/>
        <v>0</v>
      </c>
      <c r="G21" s="33"/>
      <c r="H21" s="27"/>
      <c r="I21" s="5" t="str">
        <f>_xlfn.IFNA(VLOOKUP(G21,Päästökertoimet!$A$61:$B$79,2,FALSE),"-")</f>
        <v>-</v>
      </c>
      <c r="J21" s="15">
        <f t="shared" si="0"/>
        <v>0</v>
      </c>
    </row>
    <row r="22" spans="2:10" x14ac:dyDescent="0.25">
      <c r="B22" s="20"/>
      <c r="C22" s="27"/>
      <c r="D22" s="7" t="str">
        <f>_xlfn.IFNA(VLOOKUP(B22,Päästökertoimet!$A$2:$B$56,2,FALSE),"-")</f>
        <v>-</v>
      </c>
      <c r="E22" s="15">
        <f t="shared" si="1"/>
        <v>0</v>
      </c>
      <c r="G22" s="112"/>
      <c r="H22" s="113"/>
      <c r="I22" s="113"/>
      <c r="J22" s="15">
        <f t="shared" si="0"/>
        <v>0</v>
      </c>
    </row>
    <row r="23" spans="2:10" x14ac:dyDescent="0.25">
      <c r="B23" s="20"/>
      <c r="C23" s="27"/>
      <c r="D23" s="7" t="str">
        <f>_xlfn.IFNA(VLOOKUP(B23,Päästökertoimet!$A$2:$B$56,2,FALSE),"-")</f>
        <v>-</v>
      </c>
      <c r="E23" s="15">
        <f t="shared" si="1"/>
        <v>0</v>
      </c>
      <c r="G23" s="112"/>
      <c r="H23" s="113"/>
      <c r="I23" s="113"/>
      <c r="J23" s="15">
        <f t="shared" si="0"/>
        <v>0</v>
      </c>
    </row>
    <row r="24" spans="2:10" x14ac:dyDescent="0.25">
      <c r="B24" s="20"/>
      <c r="C24" s="27"/>
      <c r="D24" s="7" t="str">
        <f>_xlfn.IFNA(VLOOKUP(B24,Päästökertoimet!$A$2:$B$56,2,FALSE),"-")</f>
        <v>-</v>
      </c>
      <c r="E24" s="15">
        <f t="shared" si="1"/>
        <v>0</v>
      </c>
      <c r="G24" s="112"/>
      <c r="H24" s="113"/>
      <c r="I24" s="113"/>
      <c r="J24" s="15">
        <f t="shared" si="0"/>
        <v>0</v>
      </c>
    </row>
    <row r="25" spans="2:10" ht="15.75" thickBot="1" x14ac:dyDescent="0.3">
      <c r="B25" s="20"/>
      <c r="C25" s="27"/>
      <c r="D25" s="7" t="str">
        <f>_xlfn.IFNA(VLOOKUP(B25,Päästökertoimet!$A$2:$B$56,2,FALSE),"-")</f>
        <v>-</v>
      </c>
      <c r="E25" s="15">
        <f t="shared" si="1"/>
        <v>0</v>
      </c>
      <c r="G25" s="114"/>
      <c r="H25" s="115"/>
      <c r="I25" s="115"/>
      <c r="J25" s="18">
        <f t="shared" si="0"/>
        <v>0</v>
      </c>
    </row>
    <row r="26" spans="2:10" x14ac:dyDescent="0.25">
      <c r="B26" s="20"/>
      <c r="C26" s="27"/>
      <c r="D26" s="7" t="str">
        <f>_xlfn.IFNA(VLOOKUP(B26,Päästökertoimet!$A$2:$B$56,2,FALSE),"-")</f>
        <v>-</v>
      </c>
      <c r="E26" s="15">
        <f t="shared" si="1"/>
        <v>0</v>
      </c>
    </row>
    <row r="27" spans="2:10" x14ac:dyDescent="0.25">
      <c r="B27" s="20"/>
      <c r="C27" s="27"/>
      <c r="D27" s="7" t="str">
        <f>_xlfn.IFNA(VLOOKUP(B27,Päästökertoimet!$A$2:$B$56,2,FALSE),"-")</f>
        <v>-</v>
      </c>
      <c r="E27" s="15">
        <f t="shared" si="1"/>
        <v>0</v>
      </c>
    </row>
    <row r="28" spans="2:10" x14ac:dyDescent="0.25">
      <c r="B28" s="112"/>
      <c r="C28" s="113"/>
      <c r="D28" s="113"/>
      <c r="E28" s="15">
        <f t="shared" si="1"/>
        <v>0</v>
      </c>
    </row>
    <row r="29" spans="2:10" x14ac:dyDescent="0.25">
      <c r="B29" s="112"/>
      <c r="C29" s="113"/>
      <c r="D29" s="113"/>
      <c r="E29" s="15">
        <f t="shared" si="1"/>
        <v>0</v>
      </c>
    </row>
    <row r="30" spans="2:10" x14ac:dyDescent="0.25">
      <c r="B30" s="112"/>
      <c r="C30" s="113"/>
      <c r="D30" s="113"/>
      <c r="E30" s="15">
        <f t="shared" si="1"/>
        <v>0</v>
      </c>
    </row>
    <row r="31" spans="2:10" x14ac:dyDescent="0.25">
      <c r="B31" s="112"/>
      <c r="C31" s="113"/>
      <c r="D31" s="113"/>
      <c r="E31" s="15">
        <f t="shared" si="1"/>
        <v>0</v>
      </c>
    </row>
    <row r="32" spans="2:10" ht="15.75" thickBot="1" x14ac:dyDescent="0.3">
      <c r="B32" s="114"/>
      <c r="C32" s="115"/>
      <c r="D32" s="115"/>
      <c r="E32" s="18">
        <f t="shared" si="1"/>
        <v>0</v>
      </c>
    </row>
    <row r="33" spans="2:9" x14ac:dyDescent="0.25">
      <c r="B33" s="1"/>
      <c r="C33" s="1"/>
      <c r="D33" s="1"/>
      <c r="E33" s="1"/>
    </row>
    <row r="34" spans="2:9" x14ac:dyDescent="0.25">
      <c r="B34" s="1"/>
      <c r="C34" s="1"/>
      <c r="D34" s="1"/>
      <c r="E34" s="1"/>
    </row>
    <row r="35" spans="2:9" x14ac:dyDescent="0.25">
      <c r="B35" s="1"/>
      <c r="C35" s="1"/>
      <c r="D35" s="1"/>
      <c r="E35" s="1"/>
      <c r="I35" s="1"/>
    </row>
    <row r="36" spans="2:9" x14ac:dyDescent="0.25">
      <c r="B36" s="1"/>
      <c r="C36" s="1"/>
      <c r="D36" s="1"/>
      <c r="E36" s="1"/>
      <c r="I36" s="1"/>
    </row>
    <row r="37" spans="2:9" x14ac:dyDescent="0.25">
      <c r="B37" s="1"/>
      <c r="C37" s="1"/>
      <c r="D37" s="1"/>
      <c r="E37" s="1"/>
    </row>
    <row r="38" spans="2:9" x14ac:dyDescent="0.25">
      <c r="B38" s="1"/>
      <c r="C38" s="1"/>
      <c r="D38" s="1"/>
      <c r="E38" s="1"/>
    </row>
    <row r="39" spans="2:9" x14ac:dyDescent="0.25">
      <c r="B39" s="1"/>
      <c r="C39" s="1"/>
      <c r="D39" s="1"/>
      <c r="E39" s="1"/>
    </row>
    <row r="40" spans="2:9" x14ac:dyDescent="0.25">
      <c r="B40" s="1"/>
      <c r="C40" s="1"/>
      <c r="D40" s="1"/>
      <c r="E40" s="1"/>
    </row>
    <row r="41" spans="2:9" x14ac:dyDescent="0.25">
      <c r="B41" s="1"/>
      <c r="C41" s="1"/>
      <c r="D41" s="1"/>
      <c r="E41" s="1"/>
    </row>
    <row r="42" spans="2:9" x14ac:dyDescent="0.25">
      <c r="B42" s="1"/>
      <c r="C42" s="1"/>
      <c r="D42" s="1"/>
      <c r="E42" s="1"/>
    </row>
    <row r="43" spans="2:9" x14ac:dyDescent="0.25">
      <c r="B43" s="1"/>
      <c r="C43" s="1"/>
      <c r="D43" s="1"/>
      <c r="E43" s="1"/>
    </row>
    <row r="44" spans="2:9" x14ac:dyDescent="0.25">
      <c r="B44" s="1"/>
      <c r="C44" s="1"/>
      <c r="D44" s="1"/>
      <c r="E44" s="1"/>
    </row>
    <row r="45" spans="2:9" x14ac:dyDescent="0.25">
      <c r="B45" s="1"/>
      <c r="C45" s="1"/>
      <c r="D45" s="1"/>
      <c r="E45" s="1"/>
    </row>
    <row r="46" spans="2:9" x14ac:dyDescent="0.25">
      <c r="B46" s="1"/>
      <c r="C46" s="1"/>
      <c r="D46" s="1"/>
      <c r="E46" s="1"/>
    </row>
    <row r="47" spans="2:9" x14ac:dyDescent="0.25">
      <c r="B47" s="1"/>
      <c r="C47" s="1"/>
      <c r="D47" s="1"/>
      <c r="E47" s="1"/>
    </row>
    <row r="48" spans="2:9" x14ac:dyDescent="0.25">
      <c r="B48" s="1"/>
      <c r="C48" s="1"/>
      <c r="D48" s="1"/>
      <c r="E48" s="1"/>
    </row>
    <row r="49" spans="2:6" x14ac:dyDescent="0.25">
      <c r="B49" s="1"/>
      <c r="C49" s="1"/>
      <c r="D49" s="1"/>
      <c r="E49" s="1"/>
    </row>
    <row r="50" spans="2:6" x14ac:dyDescent="0.25">
      <c r="B50" s="1"/>
      <c r="C50" s="1"/>
      <c r="D50" s="1"/>
      <c r="E50" s="1"/>
    </row>
    <row r="51" spans="2:6" x14ac:dyDescent="0.25">
      <c r="B51" s="1"/>
      <c r="C51" s="1"/>
      <c r="D51" s="1"/>
      <c r="E51" s="1"/>
    </row>
    <row r="52" spans="2:6" x14ac:dyDescent="0.25">
      <c r="B52" s="1"/>
      <c r="C52" s="1"/>
      <c r="D52" s="1"/>
      <c r="E52" s="1"/>
    </row>
    <row r="53" spans="2:6" x14ac:dyDescent="0.25">
      <c r="B53" s="1"/>
      <c r="C53" s="1"/>
      <c r="D53" s="1"/>
      <c r="E53" s="1"/>
    </row>
    <row r="54" spans="2:6" x14ac:dyDescent="0.25">
      <c r="B54" s="1"/>
      <c r="C54" s="1"/>
      <c r="D54" s="1"/>
      <c r="E54" s="1"/>
    </row>
    <row r="55" spans="2:6" x14ac:dyDescent="0.25">
      <c r="B55" s="1"/>
      <c r="C55" s="1"/>
      <c r="D55" s="1"/>
      <c r="E55" s="1"/>
    </row>
    <row r="56" spans="2:6" x14ac:dyDescent="0.25">
      <c r="B56" s="1"/>
      <c r="C56" s="1"/>
      <c r="D56" s="1"/>
      <c r="E56" s="1"/>
      <c r="F56" s="9"/>
    </row>
    <row r="57" spans="2:6" x14ac:dyDescent="0.25">
      <c r="B57" s="1"/>
      <c r="C57" s="1"/>
      <c r="D57" s="1"/>
      <c r="E57" s="1"/>
    </row>
    <row r="58" spans="2:6" x14ac:dyDescent="0.25">
      <c r="B58" s="1"/>
      <c r="C58" s="1"/>
      <c r="D58" s="1"/>
      <c r="E58" s="1"/>
    </row>
    <row r="59" spans="2:6" x14ac:dyDescent="0.25">
      <c r="B59" s="1"/>
      <c r="C59" s="1"/>
      <c r="D59" s="1"/>
      <c r="E59" s="1"/>
    </row>
    <row r="60" spans="2:6" x14ac:dyDescent="0.25">
      <c r="B60" s="1"/>
      <c r="C60" s="1"/>
      <c r="D60" s="1"/>
      <c r="E60" s="1"/>
    </row>
    <row r="61" spans="2:6" x14ac:dyDescent="0.25">
      <c r="B61" s="1"/>
      <c r="C61" s="1"/>
      <c r="D61" s="1"/>
      <c r="E61" s="1"/>
    </row>
  </sheetData>
  <mergeCells count="3">
    <mergeCell ref="D5:H5"/>
    <mergeCell ref="D2:H2"/>
    <mergeCell ref="D3:H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00000000-0002-0000-1000-000000000000}">
          <x14:formula1>
            <xm:f>Päästökertoimet!$A$2:$A$56</xm:f>
          </x14:formula1>
          <xm:sqref>B8:B27</xm:sqref>
        </x14:dataValidation>
        <x14:dataValidation type="list" showInputMessage="1" showErrorMessage="1" xr:uid="{00000000-0002-0000-1000-000001000000}">
          <x14:formula1>
            <xm:f>Päästökertoimet!$A$60:$A$78</xm:f>
          </x14:formula1>
          <xm:sqref>G8:G21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ul5">
    <tabColor rgb="FF92D050"/>
  </sheetPr>
  <dimension ref="A1:AG293"/>
  <sheetViews>
    <sheetView zoomScale="85" zoomScaleNormal="85" workbookViewId="0"/>
  </sheetViews>
  <sheetFormatPr defaultColWidth="9.140625" defaultRowHeight="15" x14ac:dyDescent="0.25"/>
  <cols>
    <col min="1" max="1" width="36.28515625" style="1" bestFit="1" customWidth="1"/>
    <col min="2" max="2" width="22.42578125" style="1" bestFit="1" customWidth="1"/>
    <col min="3" max="4" width="9.140625" style="1"/>
    <col min="5" max="5" width="23.5703125" style="2" bestFit="1" customWidth="1"/>
    <col min="6" max="6" width="14.7109375" style="2" bestFit="1" customWidth="1"/>
    <col min="7" max="7" width="35.28515625" style="1" bestFit="1" customWidth="1"/>
    <col min="8" max="8" width="18" style="1" bestFit="1" customWidth="1"/>
    <col min="9" max="9" width="10" style="1" bestFit="1" customWidth="1"/>
    <col min="10" max="10" width="56.28515625" style="1" bestFit="1" customWidth="1"/>
    <col min="11" max="11" width="32.85546875" style="1" bestFit="1" customWidth="1"/>
    <col min="12" max="12" width="23.5703125" style="1" bestFit="1" customWidth="1"/>
    <col min="13" max="13" width="28.28515625" style="1" bestFit="1" customWidth="1"/>
    <col min="14" max="14" width="29.42578125" style="1" bestFit="1" customWidth="1"/>
    <col min="15" max="15" width="9.140625" style="1"/>
    <col min="16" max="16" width="17.7109375" style="2" bestFit="1" customWidth="1"/>
    <col min="17" max="17" width="11.42578125" style="1" bestFit="1" customWidth="1"/>
    <col min="18" max="19" width="9.140625" style="1"/>
    <col min="20" max="20" width="90.85546875" style="1" bestFit="1" customWidth="1"/>
    <col min="21" max="21" width="9.28515625" style="2"/>
    <col min="22" max="22" width="15.7109375" style="1" bestFit="1" customWidth="1"/>
    <col min="23" max="23" width="36" style="1" bestFit="1" customWidth="1"/>
    <col min="24" max="24" width="29.28515625" style="2" bestFit="1" customWidth="1"/>
    <col min="25" max="25" width="10.7109375" style="1" bestFit="1" customWidth="1"/>
    <col min="26" max="26" width="9.140625" style="1"/>
    <col min="27" max="27" width="86.5703125" style="2" bestFit="1" customWidth="1"/>
    <col min="28" max="28" width="25.5703125" style="2" bestFit="1" customWidth="1"/>
    <col min="29" max="29" width="26.42578125" style="2" bestFit="1" customWidth="1"/>
    <col min="30" max="30" width="9.140625" style="2"/>
    <col min="31" max="31" width="9.85546875" style="2" customWidth="1"/>
    <col min="32" max="16384" width="9.140625" style="1"/>
  </cols>
  <sheetData>
    <row r="1" spans="1:31" ht="18" x14ac:dyDescent="0.35">
      <c r="A1" s="79" t="s">
        <v>1</v>
      </c>
      <c r="B1" s="79" t="s">
        <v>2</v>
      </c>
      <c r="E1" s="79" t="s">
        <v>0</v>
      </c>
      <c r="F1" s="79" t="s">
        <v>108</v>
      </c>
      <c r="G1" s="1" t="b">
        <v>0</v>
      </c>
      <c r="H1" s="79" t="s">
        <v>243</v>
      </c>
      <c r="I1" s="79" t="s">
        <v>2</v>
      </c>
      <c r="K1" s="79" t="s">
        <v>244</v>
      </c>
      <c r="L1" s="79" t="s">
        <v>2</v>
      </c>
      <c r="P1" s="79" t="s">
        <v>317</v>
      </c>
      <c r="Q1" s="79" t="s">
        <v>318</v>
      </c>
      <c r="W1" s="79" t="s">
        <v>468</v>
      </c>
      <c r="X1" s="80" t="s">
        <v>469</v>
      </c>
      <c r="AA1" s="79" t="s">
        <v>902</v>
      </c>
    </row>
    <row r="2" spans="1:31" x14ac:dyDescent="0.25">
      <c r="A2" s="79"/>
      <c r="B2" s="2">
        <v>0</v>
      </c>
      <c r="G2" s="81" t="b">
        <v>0</v>
      </c>
      <c r="Q2" s="2"/>
      <c r="T2" s="82" t="s">
        <v>343</v>
      </c>
      <c r="U2" s="2">
        <v>0.72970000000000002</v>
      </c>
      <c r="AA2" s="79"/>
    </row>
    <row r="3" spans="1:31" x14ac:dyDescent="0.25">
      <c r="A3" s="2" t="s">
        <v>11</v>
      </c>
      <c r="B3" s="2">
        <f>(0.3+1.1)/2</f>
        <v>0.70000000000000007</v>
      </c>
      <c r="E3" s="80">
        <v>2020</v>
      </c>
      <c r="F3" s="83">
        <v>7.4899999999999994E-2</v>
      </c>
      <c r="G3" s="81"/>
      <c r="H3" s="2" t="s">
        <v>245</v>
      </c>
      <c r="I3" s="2">
        <v>0.06</v>
      </c>
      <c r="K3" s="2" t="s">
        <v>246</v>
      </c>
      <c r="L3" s="2">
        <v>6.0000000000000001E-3</v>
      </c>
      <c r="P3" s="2" t="s">
        <v>319</v>
      </c>
      <c r="Q3" s="2">
        <v>0.15</v>
      </c>
      <c r="T3" s="82" t="s">
        <v>344</v>
      </c>
      <c r="U3" s="2">
        <v>0.92789999999999995</v>
      </c>
      <c r="W3" s="2" t="s">
        <v>329</v>
      </c>
      <c r="X3" s="2">
        <v>0.71299999999999997</v>
      </c>
      <c r="AA3" s="2" t="s">
        <v>903</v>
      </c>
      <c r="AB3" s="83">
        <v>4.7199999999999999E-2</v>
      </c>
      <c r="AC3" s="83" t="s">
        <v>552</v>
      </c>
      <c r="AD3" s="83" t="s">
        <v>552</v>
      </c>
      <c r="AE3" s="83" t="s">
        <v>552</v>
      </c>
    </row>
    <row r="4" spans="1:31" x14ac:dyDescent="0.25">
      <c r="A4" s="2" t="s">
        <v>35</v>
      </c>
      <c r="B4" s="2">
        <f>(2.8+4)/2</f>
        <v>3.4</v>
      </c>
      <c r="E4" s="80">
        <v>2021</v>
      </c>
      <c r="F4" s="83">
        <v>8.1199999999999994E-2</v>
      </c>
      <c r="G4" s="81"/>
      <c r="H4" s="2" t="s">
        <v>247</v>
      </c>
      <c r="I4" s="2">
        <v>0.13</v>
      </c>
      <c r="K4" s="2" t="s">
        <v>248</v>
      </c>
      <c r="L4" s="2">
        <v>5.0000000000000001E-3</v>
      </c>
      <c r="P4" s="2" t="s">
        <v>320</v>
      </c>
      <c r="Q4" s="2">
        <v>0.126</v>
      </c>
      <c r="T4" s="82" t="s">
        <v>345</v>
      </c>
      <c r="U4" s="2">
        <v>0.39739999999999998</v>
      </c>
      <c r="W4" s="2" t="s">
        <v>441</v>
      </c>
      <c r="X4" s="2">
        <v>0.54100000000000004</v>
      </c>
      <c r="AA4" s="2" t="s">
        <v>908</v>
      </c>
      <c r="AB4" s="83">
        <v>4.5400000000000003E-2</v>
      </c>
      <c r="AC4" s="83" t="s">
        <v>552</v>
      </c>
      <c r="AD4" s="83" t="s">
        <v>552</v>
      </c>
      <c r="AE4" s="83" t="s">
        <v>552</v>
      </c>
    </row>
    <row r="5" spans="1:31" x14ac:dyDescent="0.25">
      <c r="A5" s="2" t="s">
        <v>3</v>
      </c>
      <c r="B5" s="2">
        <f>(0.3+2.1)/2</f>
        <v>1.2</v>
      </c>
      <c r="E5" s="80">
        <v>2022</v>
      </c>
      <c r="F5" s="83">
        <v>5.9799999999999999E-2</v>
      </c>
      <c r="G5" s="81"/>
      <c r="H5" s="2" t="s">
        <v>249</v>
      </c>
      <c r="I5" s="2">
        <v>0.41</v>
      </c>
      <c r="K5" s="2" t="s">
        <v>250</v>
      </c>
      <c r="L5" s="2">
        <v>2.0000000000000001E-4</v>
      </c>
      <c r="P5" s="2" t="s">
        <v>324</v>
      </c>
      <c r="Q5" s="2">
        <v>3.3000000000000002E-2</v>
      </c>
      <c r="T5" s="82" t="s">
        <v>346</v>
      </c>
      <c r="U5" s="2">
        <v>0.51160000000000005</v>
      </c>
      <c r="W5" s="2" t="s">
        <v>442</v>
      </c>
      <c r="X5" s="2">
        <v>0.45200000000000001</v>
      </c>
      <c r="AA5" s="2" t="s">
        <v>904</v>
      </c>
      <c r="AB5" s="83">
        <v>5.04E-2</v>
      </c>
      <c r="AC5" s="83" t="s">
        <v>552</v>
      </c>
      <c r="AD5" s="83" t="s">
        <v>552</v>
      </c>
      <c r="AE5" s="83" t="s">
        <v>552</v>
      </c>
    </row>
    <row r="6" spans="1:31" x14ac:dyDescent="0.25">
      <c r="A6" s="2" t="s">
        <v>49</v>
      </c>
      <c r="B6" s="2">
        <f>(0.7+1.8)/2</f>
        <v>1.25</v>
      </c>
      <c r="E6" s="80">
        <v>2023</v>
      </c>
      <c r="F6" s="83">
        <v>3.422E-2</v>
      </c>
      <c r="G6" s="81"/>
      <c r="H6" s="2" t="s">
        <v>251</v>
      </c>
      <c r="I6" s="2">
        <v>0.56999999999999995</v>
      </c>
      <c r="K6" s="2" t="s">
        <v>252</v>
      </c>
      <c r="L6" s="2">
        <v>4.0000000000000001E-3</v>
      </c>
      <c r="P6" s="2" t="s">
        <v>321</v>
      </c>
      <c r="Q6" s="2">
        <v>0.122</v>
      </c>
      <c r="T6" s="82" t="s">
        <v>347</v>
      </c>
      <c r="U6" s="2">
        <v>0.37369999999999998</v>
      </c>
      <c r="W6" s="2"/>
      <c r="AA6" s="2" t="s">
        <v>917</v>
      </c>
      <c r="AB6" s="2">
        <v>0.15</v>
      </c>
      <c r="AC6" s="83" t="s">
        <v>552</v>
      </c>
      <c r="AD6" s="83" t="s">
        <v>552</v>
      </c>
      <c r="AE6" s="83" t="s">
        <v>552</v>
      </c>
    </row>
    <row r="7" spans="1:31" x14ac:dyDescent="0.25">
      <c r="A7" s="2" t="s">
        <v>41</v>
      </c>
      <c r="B7" s="2">
        <f>(1.1+1.7)/2</f>
        <v>1.4</v>
      </c>
      <c r="G7" s="81"/>
      <c r="H7" s="2" t="s">
        <v>253</v>
      </c>
      <c r="I7" s="2">
        <v>0.13</v>
      </c>
      <c r="K7" s="2" t="s">
        <v>254</v>
      </c>
      <c r="L7" s="2">
        <v>0.02</v>
      </c>
      <c r="P7" s="2" t="s">
        <v>322</v>
      </c>
      <c r="Q7" s="2">
        <v>0.106</v>
      </c>
      <c r="T7" s="82" t="s">
        <v>348</v>
      </c>
      <c r="U7" s="2">
        <v>0.4819</v>
      </c>
      <c r="W7" s="79" t="s">
        <v>470</v>
      </c>
      <c r="AA7" s="2" t="s">
        <v>918</v>
      </c>
      <c r="AB7" s="2">
        <v>0.11700000000000001</v>
      </c>
      <c r="AC7" s="83" t="s">
        <v>552</v>
      </c>
      <c r="AD7" s="83" t="s">
        <v>552</v>
      </c>
      <c r="AE7" s="83" t="s">
        <v>552</v>
      </c>
    </row>
    <row r="8" spans="1:31" ht="18" x14ac:dyDescent="0.35">
      <c r="A8" s="2" t="s">
        <v>4</v>
      </c>
      <c r="B8" s="2">
        <f>(0.1+0.3)/2</f>
        <v>0.2</v>
      </c>
      <c r="E8" s="79" t="s">
        <v>109</v>
      </c>
      <c r="F8" s="79" t="s">
        <v>108</v>
      </c>
      <c r="G8" s="81"/>
      <c r="H8" s="2" t="s">
        <v>255</v>
      </c>
      <c r="I8" s="2">
        <v>7.0000000000000007E-2</v>
      </c>
      <c r="K8" s="2" t="s">
        <v>256</v>
      </c>
      <c r="L8" s="2">
        <v>0.02</v>
      </c>
      <c r="P8" s="2" t="s">
        <v>323</v>
      </c>
      <c r="Q8" s="2">
        <v>0</v>
      </c>
      <c r="T8" s="82" t="s">
        <v>349</v>
      </c>
      <c r="U8" s="2">
        <v>0.30251</v>
      </c>
      <c r="AA8" s="2" t="s">
        <v>921</v>
      </c>
      <c r="AB8" s="83" t="s">
        <v>552</v>
      </c>
      <c r="AC8" s="83" t="s">
        <v>552</v>
      </c>
      <c r="AD8" s="83" t="s">
        <v>552</v>
      </c>
      <c r="AE8" s="2">
        <v>5.52</v>
      </c>
    </row>
    <row r="9" spans="1:31" x14ac:dyDescent="0.25">
      <c r="A9" s="2" t="s">
        <v>42</v>
      </c>
      <c r="B9" s="2">
        <f>(7.5+16)/2</f>
        <v>11.75</v>
      </c>
      <c r="H9" s="2" t="s">
        <v>257</v>
      </c>
      <c r="I9" s="2">
        <v>1.05</v>
      </c>
      <c r="K9" s="2" t="s">
        <v>258</v>
      </c>
      <c r="L9" s="2">
        <v>2E-3</v>
      </c>
      <c r="P9" s="2" t="s">
        <v>313</v>
      </c>
      <c r="Q9" s="83">
        <v>0.04</v>
      </c>
      <c r="T9" s="82" t="s">
        <v>350</v>
      </c>
      <c r="U9" s="2">
        <v>0.39272000000000001</v>
      </c>
      <c r="W9" s="2" t="s">
        <v>443</v>
      </c>
      <c r="X9" s="2">
        <v>4.2700000000000002E-2</v>
      </c>
      <c r="AA9" s="2" t="s">
        <v>919</v>
      </c>
      <c r="AB9" s="2">
        <v>0.68</v>
      </c>
      <c r="AC9" s="83" t="s">
        <v>552</v>
      </c>
      <c r="AD9" s="83" t="s">
        <v>552</v>
      </c>
      <c r="AE9" s="83" t="s">
        <v>552</v>
      </c>
    </row>
    <row r="10" spans="1:31" x14ac:dyDescent="0.25">
      <c r="A10" s="2" t="s">
        <v>15</v>
      </c>
      <c r="B10" s="2">
        <f>(1.9+3.3)/2</f>
        <v>2.5999999999999996</v>
      </c>
      <c r="E10" s="2" t="s">
        <v>1149</v>
      </c>
      <c r="F10" s="83">
        <v>0.23241000000000001</v>
      </c>
      <c r="H10" s="2" t="s">
        <v>259</v>
      </c>
      <c r="I10" s="2">
        <v>0.93</v>
      </c>
      <c r="K10" s="2" t="s">
        <v>260</v>
      </c>
      <c r="L10" s="2">
        <v>0.7</v>
      </c>
      <c r="P10" s="2" t="s">
        <v>275</v>
      </c>
      <c r="Q10" s="2">
        <v>7.0999999999999994E-2</v>
      </c>
      <c r="T10" s="82" t="s">
        <v>351</v>
      </c>
      <c r="U10" s="2">
        <v>0.19570000000000001</v>
      </c>
      <c r="W10" s="2" t="s">
        <v>444</v>
      </c>
      <c r="X10" s="2">
        <v>2.87E-2</v>
      </c>
      <c r="AA10" s="2" t="s">
        <v>920</v>
      </c>
      <c r="AB10" s="2">
        <v>0.56000000000000005</v>
      </c>
      <c r="AC10" s="83" t="s">
        <v>552</v>
      </c>
      <c r="AD10" s="83" t="s">
        <v>552</v>
      </c>
      <c r="AE10" s="83" t="s">
        <v>552</v>
      </c>
    </row>
    <row r="11" spans="1:31" x14ac:dyDescent="0.25">
      <c r="A11" s="2" t="s">
        <v>20</v>
      </c>
      <c r="B11" s="2">
        <f>(0.3+2.8)/2</f>
        <v>1.5499999999999998</v>
      </c>
      <c r="E11" s="2" t="s">
        <v>1150</v>
      </c>
      <c r="F11" s="83">
        <v>0.2349</v>
      </c>
      <c r="G11" s="81"/>
      <c r="H11" s="2" t="s">
        <v>261</v>
      </c>
      <c r="I11" s="2">
        <v>0.41</v>
      </c>
      <c r="K11" s="2" t="s">
        <v>262</v>
      </c>
      <c r="L11" s="84">
        <v>3</v>
      </c>
      <c r="P11" s="2" t="s">
        <v>314</v>
      </c>
      <c r="Q11" s="2">
        <v>4.2999999999999997E-2</v>
      </c>
      <c r="T11" s="82" t="s">
        <v>352</v>
      </c>
      <c r="U11" s="2">
        <v>0.25890000000000002</v>
      </c>
      <c r="W11" s="2" t="s">
        <v>445</v>
      </c>
      <c r="X11" s="2">
        <v>1.2800000000000001E-2</v>
      </c>
      <c r="AA11" s="2" t="s">
        <v>909</v>
      </c>
      <c r="AB11" s="85">
        <v>1.6</v>
      </c>
      <c r="AC11" s="83" t="s">
        <v>552</v>
      </c>
      <c r="AD11" s="83" t="s">
        <v>552</v>
      </c>
      <c r="AE11" s="83" t="s">
        <v>552</v>
      </c>
    </row>
    <row r="12" spans="1:31" x14ac:dyDescent="0.25">
      <c r="A12" s="2" t="s">
        <v>7</v>
      </c>
      <c r="B12" s="2">
        <f>(0.3+0.6)/2</f>
        <v>0.44999999999999996</v>
      </c>
      <c r="E12" s="2" t="s">
        <v>1151</v>
      </c>
      <c r="F12" s="83">
        <v>0.47127000000000002</v>
      </c>
      <c r="G12" s="81"/>
      <c r="H12" s="2" t="s">
        <v>263</v>
      </c>
      <c r="I12" s="2">
        <v>0.72</v>
      </c>
      <c r="K12" s="2" t="s">
        <v>261</v>
      </c>
      <c r="L12" s="2">
        <v>0.41</v>
      </c>
      <c r="P12" s="2" t="s">
        <v>315</v>
      </c>
      <c r="Q12" s="2">
        <v>0.14299999999999999</v>
      </c>
      <c r="T12" s="82" t="s">
        <v>353</v>
      </c>
      <c r="U12" s="2">
        <v>0.16009999999999999</v>
      </c>
      <c r="W12" s="2" t="s">
        <v>446</v>
      </c>
      <c r="X12" s="2">
        <v>9.5999999999999992E-3</v>
      </c>
      <c r="AA12" s="2" t="s">
        <v>906</v>
      </c>
      <c r="AB12" s="83">
        <v>5.2299999999999999E-2</v>
      </c>
      <c r="AC12" s="83" t="s">
        <v>552</v>
      </c>
      <c r="AD12" s="83" t="s">
        <v>552</v>
      </c>
      <c r="AE12" s="83" t="s">
        <v>552</v>
      </c>
    </row>
    <row r="13" spans="1:31" x14ac:dyDescent="0.25">
      <c r="A13" s="2" t="s">
        <v>21</v>
      </c>
      <c r="B13" s="2">
        <f>(2+9)/2</f>
        <v>5.5</v>
      </c>
      <c r="E13" s="2" t="s">
        <v>537</v>
      </c>
      <c r="F13" s="87">
        <v>0</v>
      </c>
      <c r="G13" s="81"/>
      <c r="K13" s="2" t="s">
        <v>264</v>
      </c>
      <c r="L13" s="2">
        <v>5.7000000000000002E-2</v>
      </c>
      <c r="P13" s="2" t="s">
        <v>316</v>
      </c>
      <c r="Q13" s="2">
        <v>0.98699999999999999</v>
      </c>
      <c r="T13" s="82" t="s">
        <v>354</v>
      </c>
      <c r="U13" s="2">
        <v>0.21429999999999999</v>
      </c>
      <c r="W13" s="2" t="s">
        <v>447</v>
      </c>
      <c r="X13" s="2">
        <v>2.8400000000000002E-2</v>
      </c>
      <c r="AA13" s="2" t="s">
        <v>905</v>
      </c>
      <c r="AB13" s="83">
        <v>4.5199999999999997E-2</v>
      </c>
      <c r="AC13" s="83" t="s">
        <v>552</v>
      </c>
      <c r="AD13" s="83" t="s">
        <v>552</v>
      </c>
      <c r="AE13" s="83" t="s">
        <v>552</v>
      </c>
    </row>
    <row r="14" spans="1:31" ht="18.75" x14ac:dyDescent="0.35">
      <c r="A14" s="2" t="s">
        <v>31</v>
      </c>
      <c r="B14" s="2">
        <f>(1.9+15)/2</f>
        <v>8.4499999999999993</v>
      </c>
      <c r="E14" s="2" t="s">
        <v>538</v>
      </c>
      <c r="F14" s="87">
        <v>0</v>
      </c>
      <c r="H14" s="79" t="s">
        <v>278</v>
      </c>
      <c r="I14" s="79" t="s">
        <v>279</v>
      </c>
      <c r="Q14" s="2"/>
      <c r="T14" s="82"/>
      <c r="W14" s="2" t="s">
        <v>448</v>
      </c>
      <c r="X14" s="2">
        <v>5.3E-3</v>
      </c>
      <c r="AA14" s="2" t="s">
        <v>922</v>
      </c>
      <c r="AB14" s="2">
        <v>6.0000000000000001E-3</v>
      </c>
      <c r="AC14" s="83" t="s">
        <v>552</v>
      </c>
      <c r="AD14" s="83" t="s">
        <v>552</v>
      </c>
      <c r="AE14" s="83" t="s">
        <v>552</v>
      </c>
    </row>
    <row r="15" spans="1:31" x14ac:dyDescent="0.25">
      <c r="A15" s="2" t="s">
        <v>32</v>
      </c>
      <c r="B15" s="2">
        <v>2.7</v>
      </c>
      <c r="E15" s="2" t="s">
        <v>539</v>
      </c>
      <c r="F15" s="87">
        <v>0</v>
      </c>
      <c r="T15" s="82" t="s">
        <v>355</v>
      </c>
      <c r="U15" s="2">
        <v>0.37259999999999999</v>
      </c>
      <c r="W15" s="2" t="s">
        <v>449</v>
      </c>
      <c r="X15" s="2">
        <v>3.0999999999999999E-3</v>
      </c>
      <c r="AA15" s="2" t="s">
        <v>910</v>
      </c>
      <c r="AB15" s="2">
        <v>4.3E-3</v>
      </c>
      <c r="AC15" s="83" t="s">
        <v>552</v>
      </c>
      <c r="AD15" s="83" t="s">
        <v>552</v>
      </c>
      <c r="AE15" s="83" t="s">
        <v>552</v>
      </c>
    </row>
    <row r="16" spans="1:31" x14ac:dyDescent="0.25">
      <c r="A16" s="2" t="s">
        <v>28</v>
      </c>
      <c r="B16" s="2">
        <f>(3.7+8.9)/2</f>
        <v>6.3000000000000007</v>
      </c>
      <c r="E16" s="2" t="s">
        <v>540</v>
      </c>
      <c r="F16" s="87">
        <v>0</v>
      </c>
      <c r="H16" s="2" t="s">
        <v>280</v>
      </c>
      <c r="I16" s="83">
        <v>0.50600000000000001</v>
      </c>
      <c r="P16" s="79" t="s">
        <v>328</v>
      </c>
      <c r="T16" s="82" t="s">
        <v>356</v>
      </c>
      <c r="U16" s="2">
        <v>0.40949999999999998</v>
      </c>
      <c r="W16" s="2" t="s">
        <v>450</v>
      </c>
      <c r="X16" s="2">
        <v>1.21E-2</v>
      </c>
      <c r="AA16" s="2" t="s">
        <v>913</v>
      </c>
      <c r="AB16" s="2">
        <v>0.78900000000000003</v>
      </c>
      <c r="AC16" s="83" t="s">
        <v>552</v>
      </c>
      <c r="AD16" s="83" t="s">
        <v>552</v>
      </c>
      <c r="AE16" s="83" t="s">
        <v>552</v>
      </c>
    </row>
    <row r="17" spans="1:33" x14ac:dyDescent="0.25">
      <c r="A17" s="2" t="s">
        <v>36</v>
      </c>
      <c r="B17" s="2">
        <f>(14+37)/2</f>
        <v>25.5</v>
      </c>
      <c r="E17" s="2" t="s">
        <v>543</v>
      </c>
      <c r="F17" s="85">
        <v>0.20269999999999999</v>
      </c>
      <c r="T17" s="82" t="s">
        <v>357</v>
      </c>
      <c r="U17" s="2">
        <v>0.2036</v>
      </c>
      <c r="W17" s="2" t="s">
        <v>451</v>
      </c>
      <c r="X17" s="2">
        <v>8.2000000000000007E-3</v>
      </c>
      <c r="AA17" s="2" t="s">
        <v>914</v>
      </c>
      <c r="AB17" s="2">
        <v>0.91700000000000004</v>
      </c>
      <c r="AC17" s="83" t="s">
        <v>552</v>
      </c>
      <c r="AD17" s="83" t="s">
        <v>552</v>
      </c>
      <c r="AE17" s="83" t="s">
        <v>552</v>
      </c>
    </row>
    <row r="18" spans="1:33" x14ac:dyDescent="0.25">
      <c r="A18" s="2" t="s">
        <v>57</v>
      </c>
      <c r="B18" s="2">
        <f>(0.8+2.4)/2</f>
        <v>1.6</v>
      </c>
      <c r="E18" s="2" t="s">
        <v>541</v>
      </c>
      <c r="F18" s="85">
        <v>0.33410000000000001</v>
      </c>
      <c r="P18" s="2" t="s">
        <v>329</v>
      </c>
      <c r="Q18" s="2">
        <v>0.21199999999999999</v>
      </c>
      <c r="T18" s="82" t="s">
        <v>358</v>
      </c>
      <c r="U18" s="2">
        <v>0.2298</v>
      </c>
      <c r="W18" s="2" t="s">
        <v>452</v>
      </c>
      <c r="X18" s="2">
        <v>2.5899999999999999E-2</v>
      </c>
      <c r="AA18" s="2" t="s">
        <v>912</v>
      </c>
      <c r="AB18" s="2">
        <v>0.61099999999999999</v>
      </c>
      <c r="AC18" s="83" t="s">
        <v>552</v>
      </c>
      <c r="AD18" s="83" t="s">
        <v>552</v>
      </c>
      <c r="AE18" s="83" t="s">
        <v>552</v>
      </c>
    </row>
    <row r="19" spans="1:33" x14ac:dyDescent="0.25">
      <c r="A19" s="2" t="s">
        <v>54</v>
      </c>
      <c r="B19" s="2">
        <f>(0.3+5.6)/2</f>
        <v>2.9499999999999997</v>
      </c>
      <c r="E19" s="2" t="s">
        <v>47</v>
      </c>
      <c r="F19" s="85">
        <v>0.28520000000000001</v>
      </c>
      <c r="P19" s="2" t="s">
        <v>330</v>
      </c>
      <c r="Q19" s="2">
        <v>0.16</v>
      </c>
      <c r="T19" s="82" t="s">
        <v>359</v>
      </c>
      <c r="U19" s="2">
        <v>0.1915</v>
      </c>
      <c r="W19" s="2" t="s">
        <v>453</v>
      </c>
      <c r="X19" s="2">
        <v>1.0529999999999999E-2</v>
      </c>
      <c r="AA19" s="2" t="s">
        <v>915</v>
      </c>
      <c r="AB19" s="2">
        <v>0.245</v>
      </c>
      <c r="AC19" s="83" t="s">
        <v>552</v>
      </c>
      <c r="AD19" s="83" t="s">
        <v>552</v>
      </c>
      <c r="AE19" s="83" t="s">
        <v>552</v>
      </c>
    </row>
    <row r="20" spans="1:33" ht="15.75" x14ac:dyDescent="0.25">
      <c r="A20" s="2" t="s">
        <v>50</v>
      </c>
      <c r="B20" s="2">
        <f>(0.5+4.5)/2</f>
        <v>2.5</v>
      </c>
      <c r="P20" s="2" t="s">
        <v>331</v>
      </c>
      <c r="Q20" s="2">
        <v>0.13100000000000001</v>
      </c>
      <c r="T20" s="82" t="s">
        <v>360</v>
      </c>
      <c r="U20" s="2">
        <v>0.21690000000000001</v>
      </c>
      <c r="W20" s="70"/>
      <c r="AA20" s="2" t="s">
        <v>911</v>
      </c>
      <c r="AB20" s="2">
        <v>0.30399999999999999</v>
      </c>
      <c r="AC20" s="83" t="s">
        <v>552</v>
      </c>
      <c r="AD20" s="83" t="s">
        <v>552</v>
      </c>
      <c r="AE20" s="83" t="s">
        <v>552</v>
      </c>
    </row>
    <row r="21" spans="1:33" x14ac:dyDescent="0.25">
      <c r="A21" s="2" t="s">
        <v>37</v>
      </c>
      <c r="B21" s="2">
        <f>(0.3+26)/2</f>
        <v>13.15</v>
      </c>
      <c r="E21" s="79" t="s">
        <v>114</v>
      </c>
      <c r="H21" s="79" t="s">
        <v>519</v>
      </c>
      <c r="T21" s="82" t="s">
        <v>361</v>
      </c>
      <c r="U21" s="2">
        <v>0.15529999999999999</v>
      </c>
      <c r="W21" s="2" t="s">
        <v>454</v>
      </c>
      <c r="X21" s="2">
        <v>4.8199999999999996E-3</v>
      </c>
      <c r="AA21" s="2" t="s">
        <v>916</v>
      </c>
      <c r="AB21" s="2">
        <v>0.23699999999999999</v>
      </c>
      <c r="AC21" s="83" t="s">
        <v>552</v>
      </c>
      <c r="AD21" s="83" t="s">
        <v>552</v>
      </c>
      <c r="AE21" s="83" t="s">
        <v>552</v>
      </c>
    </row>
    <row r="22" spans="1:33" x14ac:dyDescent="0.25">
      <c r="A22" s="2" t="s">
        <v>30</v>
      </c>
      <c r="B22" s="2">
        <f>(4.1+6.7)/2</f>
        <v>5.4</v>
      </c>
      <c r="T22" s="82" t="s">
        <v>362</v>
      </c>
      <c r="U22" s="2">
        <v>0.17841000000000001</v>
      </c>
      <c r="W22" s="2" t="s">
        <v>455</v>
      </c>
      <c r="X22" s="2">
        <v>1.3509999999999999E-2</v>
      </c>
      <c r="AA22" s="2" t="s">
        <v>907</v>
      </c>
      <c r="AB22" s="83">
        <v>5.2600000000000001E-2</v>
      </c>
      <c r="AC22" s="83" t="s">
        <v>552</v>
      </c>
      <c r="AD22" s="83" t="s">
        <v>552</v>
      </c>
      <c r="AE22" s="83" t="s">
        <v>552</v>
      </c>
    </row>
    <row r="23" spans="1:33" x14ac:dyDescent="0.25">
      <c r="A23" s="2" t="s">
        <v>44</v>
      </c>
      <c r="B23" s="2">
        <f>(0.9+1.2)/2</f>
        <v>1.05</v>
      </c>
      <c r="E23" s="2">
        <v>2020</v>
      </c>
      <c r="F23" s="83">
        <f>0.02238+0.00078</f>
        <v>2.316E-2</v>
      </c>
      <c r="H23" s="2">
        <v>2021</v>
      </c>
      <c r="I23" s="2">
        <v>0.17072999999999999</v>
      </c>
      <c r="J23" s="2">
        <f>0.03153+0.00166</f>
        <v>3.3190000000000004E-2</v>
      </c>
      <c r="P23" s="79" t="s">
        <v>335</v>
      </c>
      <c r="T23" s="82" t="s">
        <v>363</v>
      </c>
      <c r="U23" s="2">
        <v>0.10100000000000001</v>
      </c>
      <c r="W23" s="2" t="s">
        <v>456</v>
      </c>
      <c r="X23" s="2">
        <v>9.3299999999999998E-3</v>
      </c>
    </row>
    <row r="24" spans="1:33" x14ac:dyDescent="0.25">
      <c r="A24" s="2" t="s">
        <v>46</v>
      </c>
      <c r="B24" s="2">
        <f>(2.6+6.1)/2</f>
        <v>4.3499999999999996</v>
      </c>
      <c r="E24" s="2">
        <v>2021</v>
      </c>
      <c r="F24" s="83">
        <f>0.02198+0.00077</f>
        <v>2.2749999999999999E-2</v>
      </c>
      <c r="H24" s="2">
        <v>2022</v>
      </c>
      <c r="I24" s="2">
        <v>0.17072999999999999</v>
      </c>
      <c r="J24" s="2">
        <f>0.03153+0.00166</f>
        <v>3.3190000000000004E-2</v>
      </c>
      <c r="T24" s="82" t="s">
        <v>364</v>
      </c>
      <c r="U24" s="2">
        <v>0.1206</v>
      </c>
      <c r="W24" s="2" t="s">
        <v>457</v>
      </c>
      <c r="X24" s="2">
        <v>1.6400000000000001E-2</v>
      </c>
    </row>
    <row r="25" spans="1:33" x14ac:dyDescent="0.25">
      <c r="A25" s="2" t="s">
        <v>33</v>
      </c>
      <c r="B25" s="2">
        <f>(0.3+1.5)/2</f>
        <v>0.9</v>
      </c>
      <c r="E25" s="2">
        <v>2022</v>
      </c>
      <c r="F25" s="83">
        <f>0.0208+0.00073</f>
        <v>2.1530000000000001E-2</v>
      </c>
      <c r="H25" s="2">
        <v>2023</v>
      </c>
      <c r="I25" s="2">
        <v>0.17965</v>
      </c>
      <c r="J25" s="2">
        <f>0.03341+0.00176</f>
        <v>3.517E-2</v>
      </c>
      <c r="P25" s="2" t="s">
        <v>336</v>
      </c>
      <c r="Q25" s="2">
        <v>0</v>
      </c>
      <c r="T25" s="82" t="s">
        <v>365</v>
      </c>
      <c r="U25" s="2">
        <v>8.2900000000000001E-2</v>
      </c>
      <c r="W25" s="2" t="s">
        <v>458</v>
      </c>
      <c r="X25" s="2">
        <v>1.1259999999999999E-2</v>
      </c>
    </row>
    <row r="26" spans="1:33" x14ac:dyDescent="0.25">
      <c r="A26" s="2" t="s">
        <v>45</v>
      </c>
      <c r="B26" s="2">
        <f>(1.1+3)/2</f>
        <v>2.0499999999999998</v>
      </c>
      <c r="E26" s="2" t="s">
        <v>1149</v>
      </c>
      <c r="F26" s="83">
        <f>0.4058*F34+0.0788*0.16+0.5154*F29</f>
        <v>4.8262199999999998E-2</v>
      </c>
      <c r="P26" s="2" t="s">
        <v>337</v>
      </c>
      <c r="Q26" s="2">
        <v>0</v>
      </c>
      <c r="T26" s="82" t="s">
        <v>366</v>
      </c>
      <c r="U26" s="2">
        <v>0.1014</v>
      </c>
      <c r="W26" s="2" t="s">
        <v>459</v>
      </c>
      <c r="X26" s="2">
        <v>7.4000000000000003E-3</v>
      </c>
      <c r="AA26" s="79" t="s">
        <v>923</v>
      </c>
    </row>
    <row r="27" spans="1:33" x14ac:dyDescent="0.25">
      <c r="A27" s="2" t="s">
        <v>5</v>
      </c>
      <c r="B27" s="2">
        <f>(0.7+2.7)/2</f>
        <v>1.7000000000000002</v>
      </c>
      <c r="E27" s="2" t="s">
        <v>1150</v>
      </c>
      <c r="F27" s="83">
        <f>0.4147*F34+0.0995*0.16+0.4858*F29</f>
        <v>5.1619899999999996E-2</v>
      </c>
      <c r="P27" s="2" t="s">
        <v>338</v>
      </c>
      <c r="Q27" s="2">
        <v>0</v>
      </c>
      <c r="T27" s="82"/>
      <c r="W27" s="2" t="s">
        <v>460</v>
      </c>
      <c r="X27" s="2">
        <v>3.474E-2</v>
      </c>
      <c r="AA27" s="79"/>
    </row>
    <row r="28" spans="1:33" ht="18" x14ac:dyDescent="0.35">
      <c r="A28" s="2" t="s">
        <v>23</v>
      </c>
      <c r="B28" s="2">
        <f>(0.6+1.3)/2</f>
        <v>0.95</v>
      </c>
      <c r="E28" s="2" t="s">
        <v>1151</v>
      </c>
      <c r="F28" s="83">
        <f>0.7012*F34+0.1168*0.16+0.182*F29</f>
        <v>6.7542000000000005E-2</v>
      </c>
      <c r="J28" s="79" t="s">
        <v>266</v>
      </c>
      <c r="K28" s="79" t="s">
        <v>267</v>
      </c>
      <c r="L28" s="2"/>
      <c r="M28" s="79" t="s">
        <v>268</v>
      </c>
      <c r="N28" s="79" t="s">
        <v>267</v>
      </c>
      <c r="P28" s="2" t="s">
        <v>339</v>
      </c>
      <c r="Q28" s="2">
        <v>1.2E-2</v>
      </c>
      <c r="T28" s="82" t="s">
        <v>367</v>
      </c>
      <c r="U28" s="2">
        <v>0.19850000000000001</v>
      </c>
      <c r="W28" s="2" t="s">
        <v>461</v>
      </c>
      <c r="X28" s="2">
        <v>2.6700000000000002E-2</v>
      </c>
      <c r="AA28" s="2" t="s">
        <v>925</v>
      </c>
      <c r="AB28" s="85">
        <v>2.5499999999999998</v>
      </c>
      <c r="AC28" s="85">
        <v>37.1</v>
      </c>
      <c r="AD28" s="83" t="s">
        <v>552</v>
      </c>
      <c r="AE28" s="83" t="s">
        <v>552</v>
      </c>
      <c r="AF28" s="83"/>
    </row>
    <row r="29" spans="1:33" x14ac:dyDescent="0.25">
      <c r="A29" s="2" t="s">
        <v>51</v>
      </c>
      <c r="B29" s="2">
        <f>(2.2+3.1)/2</f>
        <v>2.6500000000000004</v>
      </c>
      <c r="E29" s="2" t="s">
        <v>537</v>
      </c>
      <c r="F29" s="83">
        <v>1.7999999999999999E-2</v>
      </c>
      <c r="T29" s="82" t="s">
        <v>368</v>
      </c>
      <c r="U29" s="2">
        <v>0.25890000000000002</v>
      </c>
      <c r="W29" s="2" t="s">
        <v>462</v>
      </c>
      <c r="X29" s="2">
        <v>2.477E-2</v>
      </c>
      <c r="AA29" s="2" t="s">
        <v>926</v>
      </c>
      <c r="AB29" s="85">
        <v>2.5499999999999998</v>
      </c>
      <c r="AC29" s="85">
        <v>57.5</v>
      </c>
      <c r="AD29" s="83" t="s">
        <v>552</v>
      </c>
      <c r="AE29" s="83" t="s">
        <v>552</v>
      </c>
      <c r="AF29" s="83"/>
      <c r="AG29" s="83"/>
    </row>
    <row r="30" spans="1:33" x14ac:dyDescent="0.25">
      <c r="A30" s="2" t="s">
        <v>13</v>
      </c>
      <c r="B30" s="85">
        <f>(0.3+1.7)/2</f>
        <v>1</v>
      </c>
      <c r="E30" s="2" t="s">
        <v>538</v>
      </c>
      <c r="F30" s="83">
        <v>1.4E-2</v>
      </c>
      <c r="J30" s="2" t="s">
        <v>269</v>
      </c>
      <c r="K30" s="2">
        <v>300</v>
      </c>
      <c r="L30" s="2"/>
      <c r="M30" s="2" t="s">
        <v>269</v>
      </c>
      <c r="N30" s="2">
        <v>500</v>
      </c>
      <c r="T30" s="82" t="s">
        <v>369</v>
      </c>
      <c r="U30" s="2">
        <v>0.10929999999999999</v>
      </c>
      <c r="W30" s="2" t="s">
        <v>463</v>
      </c>
      <c r="X30" s="2">
        <v>1.9300000000000001E-2</v>
      </c>
      <c r="AA30" s="2" t="s">
        <v>924</v>
      </c>
      <c r="AB30" s="85">
        <v>2.54</v>
      </c>
      <c r="AC30" s="85">
        <v>20.100000000000001</v>
      </c>
      <c r="AD30" s="83" t="s">
        <v>552</v>
      </c>
      <c r="AE30" s="83" t="s">
        <v>552</v>
      </c>
      <c r="AF30" s="83"/>
      <c r="AG30" s="83"/>
    </row>
    <row r="31" spans="1:33" x14ac:dyDescent="0.25">
      <c r="A31" s="2" t="s">
        <v>14</v>
      </c>
      <c r="B31" s="2">
        <f>(0.1+3)/2</f>
        <v>1.55</v>
      </c>
      <c r="E31" s="2" t="s">
        <v>539</v>
      </c>
      <c r="F31" s="83">
        <v>4.2999999999999997E-2</v>
      </c>
      <c r="J31" s="2" t="s">
        <v>270</v>
      </c>
      <c r="K31" s="2">
        <v>300</v>
      </c>
      <c r="L31" s="2"/>
      <c r="M31" s="2" t="s">
        <v>270</v>
      </c>
      <c r="N31" s="2">
        <v>500</v>
      </c>
      <c r="P31" s="2" t="s">
        <v>340</v>
      </c>
      <c r="Q31" s="2">
        <v>5.2499999999999998E-2</v>
      </c>
      <c r="T31" s="82" t="s">
        <v>370</v>
      </c>
      <c r="U31" s="2">
        <v>0.1482</v>
      </c>
      <c r="W31" s="2" t="s">
        <v>464</v>
      </c>
      <c r="X31" s="2">
        <v>0.11483</v>
      </c>
      <c r="AA31" s="2" t="s">
        <v>927</v>
      </c>
      <c r="AB31" s="85">
        <v>2.2000000000000002</v>
      </c>
      <c r="AC31" s="85">
        <v>5.2</v>
      </c>
      <c r="AD31" s="83" t="s">
        <v>552</v>
      </c>
      <c r="AE31" s="83" t="s">
        <v>552</v>
      </c>
      <c r="AF31" s="83"/>
      <c r="AG31" s="83"/>
    </row>
    <row r="32" spans="1:33" x14ac:dyDescent="0.25">
      <c r="A32" s="2" t="s">
        <v>38</v>
      </c>
      <c r="B32" s="2">
        <f>(36+46)/2</f>
        <v>41</v>
      </c>
      <c r="E32" s="2" t="s">
        <v>540</v>
      </c>
      <c r="F32" s="83">
        <v>1.7999999999999999E-2</v>
      </c>
      <c r="J32" s="2" t="s">
        <v>271</v>
      </c>
      <c r="K32" s="2">
        <v>300</v>
      </c>
      <c r="L32" s="2"/>
      <c r="M32" s="2" t="s">
        <v>271</v>
      </c>
      <c r="N32" s="2">
        <v>500</v>
      </c>
      <c r="T32" s="82" t="s">
        <v>371</v>
      </c>
      <c r="U32" s="2">
        <v>0.10290000000000001</v>
      </c>
      <c r="W32" s="2" t="s">
        <v>465</v>
      </c>
      <c r="X32" s="2">
        <v>3.6670000000000001E-2</v>
      </c>
      <c r="AA32" s="2" t="s">
        <v>928</v>
      </c>
      <c r="AB32" s="85">
        <v>2.2000000000000002</v>
      </c>
      <c r="AC32" s="85">
        <v>7.5</v>
      </c>
      <c r="AD32" s="83" t="s">
        <v>552</v>
      </c>
      <c r="AE32" s="83" t="s">
        <v>552</v>
      </c>
      <c r="AF32" s="83"/>
      <c r="AG32" s="83"/>
    </row>
    <row r="33" spans="1:33" x14ac:dyDescent="0.25">
      <c r="A33" s="2" t="s">
        <v>52</v>
      </c>
      <c r="B33" s="2">
        <f>(0.8+1)/2</f>
        <v>0.9</v>
      </c>
      <c r="E33" s="2" t="s">
        <v>543</v>
      </c>
      <c r="F33" s="83">
        <v>5.6000000000000001E-2</v>
      </c>
      <c r="J33" s="2" t="s">
        <v>272</v>
      </c>
      <c r="K33" s="2">
        <v>300</v>
      </c>
      <c r="L33" s="2"/>
      <c r="M33" s="2" t="s">
        <v>272</v>
      </c>
      <c r="N33" s="2">
        <v>500</v>
      </c>
      <c r="T33" s="82" t="s">
        <v>372</v>
      </c>
      <c r="U33" s="2">
        <v>0.14030000000000001</v>
      </c>
      <c r="W33" s="2" t="s">
        <v>466</v>
      </c>
      <c r="X33" s="2">
        <v>0.11194</v>
      </c>
      <c r="AA33" s="2" t="s">
        <v>932</v>
      </c>
      <c r="AB33" s="85">
        <v>2.2000000000000002</v>
      </c>
      <c r="AC33" s="85">
        <v>4.4000000000000004</v>
      </c>
      <c r="AD33" s="83" t="s">
        <v>552</v>
      </c>
      <c r="AE33" s="83" t="s">
        <v>552</v>
      </c>
      <c r="AF33" s="83"/>
      <c r="AG33" s="83"/>
    </row>
    <row r="34" spans="1:33" x14ac:dyDescent="0.25">
      <c r="A34" s="2" t="s">
        <v>22</v>
      </c>
      <c r="B34" s="2">
        <f>(6.9+17)/2</f>
        <v>11.95</v>
      </c>
      <c r="E34" s="2" t="s">
        <v>541</v>
      </c>
      <c r="F34" s="83">
        <v>6.5000000000000002E-2</v>
      </c>
      <c r="J34" s="2" t="s">
        <v>0</v>
      </c>
      <c r="K34" s="2">
        <v>500</v>
      </c>
      <c r="L34" s="2"/>
      <c r="M34" s="2" t="s">
        <v>0</v>
      </c>
      <c r="N34" s="2">
        <v>700</v>
      </c>
      <c r="T34" s="82" t="s">
        <v>373</v>
      </c>
      <c r="U34" s="2">
        <v>8.3799999999999999E-2</v>
      </c>
      <c r="W34" s="2" t="s">
        <v>467</v>
      </c>
      <c r="X34" s="2">
        <v>1.1259999999999999E-2</v>
      </c>
      <c r="AA34" s="2" t="s">
        <v>939</v>
      </c>
      <c r="AB34" s="85">
        <v>2.12</v>
      </c>
      <c r="AC34" s="85">
        <v>11.6</v>
      </c>
      <c r="AD34" s="83" t="s">
        <v>552</v>
      </c>
      <c r="AE34" s="83" t="s">
        <v>552</v>
      </c>
      <c r="AF34" s="83"/>
      <c r="AG34" s="83"/>
    </row>
    <row r="35" spans="1:33" x14ac:dyDescent="0.25">
      <c r="A35" s="2" t="s">
        <v>39</v>
      </c>
      <c r="B35" s="2">
        <f>(3.6+6.9)/2</f>
        <v>5.25</v>
      </c>
      <c r="E35" s="2" t="s">
        <v>47</v>
      </c>
      <c r="F35" s="83">
        <v>6.9000000000000006E-2</v>
      </c>
      <c r="I35" s="83"/>
      <c r="J35" s="2" t="s">
        <v>277</v>
      </c>
      <c r="K35" s="2">
        <f>K30*1.1</f>
        <v>330</v>
      </c>
      <c r="L35" s="2"/>
      <c r="M35" s="2" t="s">
        <v>277</v>
      </c>
      <c r="N35" s="2">
        <f>N30*1.1</f>
        <v>550</v>
      </c>
      <c r="T35" s="82" t="s">
        <v>374</v>
      </c>
      <c r="U35" s="2">
        <v>0.11659</v>
      </c>
      <c r="AA35" s="2" t="s">
        <v>929</v>
      </c>
      <c r="AB35" s="85">
        <v>2.2000000000000002</v>
      </c>
      <c r="AC35" s="85">
        <v>11.9</v>
      </c>
      <c r="AD35" s="83" t="s">
        <v>552</v>
      </c>
      <c r="AE35" s="83" t="s">
        <v>552</v>
      </c>
      <c r="AF35" s="83"/>
      <c r="AG35" s="83"/>
    </row>
    <row r="36" spans="1:33" x14ac:dyDescent="0.25">
      <c r="A36" s="2" t="s">
        <v>27</v>
      </c>
      <c r="B36" s="2">
        <f>(0.4+2.7)/2</f>
        <v>1.55</v>
      </c>
      <c r="I36" s="83"/>
      <c r="J36" s="2" t="s">
        <v>275</v>
      </c>
      <c r="K36" s="2">
        <v>40</v>
      </c>
      <c r="L36" s="2"/>
      <c r="M36" s="2"/>
      <c r="N36" s="2"/>
      <c r="T36" s="82" t="s">
        <v>375</v>
      </c>
      <c r="U36" s="2">
        <v>5.5100000000000003E-2</v>
      </c>
      <c r="W36" s="79" t="s">
        <v>471</v>
      </c>
      <c r="AA36" s="2" t="s">
        <v>933</v>
      </c>
      <c r="AB36" s="85">
        <v>2.2000000000000002</v>
      </c>
      <c r="AC36" s="85">
        <v>6.6</v>
      </c>
      <c r="AD36" s="83" t="s">
        <v>552</v>
      </c>
      <c r="AE36" s="83" t="s">
        <v>552</v>
      </c>
      <c r="AF36" s="83"/>
      <c r="AG36" s="83"/>
    </row>
    <row r="37" spans="1:33" ht="18" x14ac:dyDescent="0.35">
      <c r="A37" s="2" t="s">
        <v>16</v>
      </c>
      <c r="B37" s="2">
        <f>(0.6+5.2)/2</f>
        <v>2.9</v>
      </c>
      <c r="E37" s="79" t="s">
        <v>115</v>
      </c>
      <c r="J37" s="2" t="s">
        <v>276</v>
      </c>
      <c r="K37" s="2">
        <v>39</v>
      </c>
      <c r="L37" s="2"/>
      <c r="M37" s="79" t="s">
        <v>274</v>
      </c>
      <c r="N37" s="79" t="s">
        <v>267</v>
      </c>
      <c r="T37" s="82" t="s">
        <v>376</v>
      </c>
      <c r="U37" s="2">
        <v>8.1000000000000003E-2</v>
      </c>
      <c r="AA37" s="2" t="s">
        <v>941</v>
      </c>
      <c r="AB37" s="85">
        <v>2.12</v>
      </c>
      <c r="AC37" s="85">
        <v>17.899999999999999</v>
      </c>
      <c r="AD37" s="83" t="s">
        <v>552</v>
      </c>
      <c r="AE37" s="83" t="s">
        <v>552</v>
      </c>
      <c r="AF37" s="83"/>
      <c r="AG37" s="83"/>
    </row>
    <row r="38" spans="1:33" x14ac:dyDescent="0.25">
      <c r="A38" s="2" t="s">
        <v>53</v>
      </c>
      <c r="B38" s="2">
        <f>(1.8+3.8)/2</f>
        <v>2.8</v>
      </c>
      <c r="K38" s="2"/>
      <c r="L38" s="2"/>
      <c r="T38" s="82" t="s">
        <v>377</v>
      </c>
      <c r="U38" s="2">
        <v>4.5600000000000002E-2</v>
      </c>
      <c r="W38" s="2" t="s">
        <v>336</v>
      </c>
      <c r="X38" s="2">
        <v>0</v>
      </c>
      <c r="AA38" s="2" t="s">
        <v>940</v>
      </c>
      <c r="AB38" s="85">
        <v>2.12</v>
      </c>
      <c r="AC38" s="85">
        <v>19.399999999999999</v>
      </c>
      <c r="AD38" s="83" t="s">
        <v>552</v>
      </c>
      <c r="AE38" s="83" t="s">
        <v>552</v>
      </c>
      <c r="AF38" s="83"/>
      <c r="AG38" s="83"/>
    </row>
    <row r="39" spans="1:33" ht="18" x14ac:dyDescent="0.35">
      <c r="A39" s="2" t="s">
        <v>6</v>
      </c>
      <c r="B39" s="2">
        <f>(0.2+2.7)/2</f>
        <v>1.4500000000000002</v>
      </c>
      <c r="E39" s="2">
        <v>2020</v>
      </c>
      <c r="F39" s="83">
        <f>0.1377</f>
        <v>0.13769999999999999</v>
      </c>
      <c r="J39" s="79" t="s">
        <v>273</v>
      </c>
      <c r="K39" s="79" t="s">
        <v>267</v>
      </c>
      <c r="L39" s="2"/>
      <c r="M39" s="2" t="s">
        <v>269</v>
      </c>
      <c r="N39" s="2">
        <v>700</v>
      </c>
      <c r="T39" s="82" t="s">
        <v>378</v>
      </c>
      <c r="U39" s="2">
        <v>6.9199999999999998E-2</v>
      </c>
      <c r="W39" s="2" t="s">
        <v>339</v>
      </c>
      <c r="X39" s="2">
        <v>0.02</v>
      </c>
      <c r="AA39" s="2" t="s">
        <v>930</v>
      </c>
      <c r="AB39" s="85">
        <v>2.2000000000000002</v>
      </c>
      <c r="AC39" s="85">
        <v>19.7</v>
      </c>
      <c r="AD39" s="83" t="s">
        <v>552</v>
      </c>
      <c r="AE39" s="83" t="s">
        <v>552</v>
      </c>
      <c r="AF39" s="83"/>
      <c r="AG39" s="83"/>
    </row>
    <row r="40" spans="1:33" x14ac:dyDescent="0.25">
      <c r="A40" s="2" t="s">
        <v>8</v>
      </c>
      <c r="B40" s="2">
        <f>(0.1+4.2)/2</f>
        <v>2.15</v>
      </c>
      <c r="E40" s="2">
        <v>2021</v>
      </c>
      <c r="F40" s="83">
        <v>0.12614</v>
      </c>
      <c r="L40" s="2"/>
      <c r="M40" s="2" t="s">
        <v>270</v>
      </c>
      <c r="N40" s="2">
        <v>700</v>
      </c>
      <c r="T40" s="82"/>
      <c r="AA40" s="2" t="s">
        <v>934</v>
      </c>
      <c r="AB40" s="85">
        <v>2.2000000000000002</v>
      </c>
      <c r="AC40" s="85">
        <v>10.1</v>
      </c>
      <c r="AD40" s="83" t="s">
        <v>552</v>
      </c>
      <c r="AE40" s="83" t="s">
        <v>552</v>
      </c>
      <c r="AF40" s="83"/>
      <c r="AG40" s="83"/>
    </row>
    <row r="41" spans="1:33" x14ac:dyDescent="0.25">
      <c r="A41" s="2" t="s">
        <v>29</v>
      </c>
      <c r="B41" s="2">
        <f>(2+6.4)/2</f>
        <v>4.2</v>
      </c>
      <c r="E41" s="2">
        <v>2022</v>
      </c>
      <c r="F41" s="83">
        <v>0.10403999999999999</v>
      </c>
      <c r="J41" s="2" t="s">
        <v>269</v>
      </c>
      <c r="K41" s="2">
        <v>600</v>
      </c>
      <c r="L41" s="2"/>
      <c r="M41" s="2" t="s">
        <v>271</v>
      </c>
      <c r="N41" s="2">
        <v>700</v>
      </c>
      <c r="T41" s="82" t="s">
        <v>379</v>
      </c>
      <c r="U41" s="2">
        <v>0.14530000000000001</v>
      </c>
      <c r="AA41" s="2" t="s">
        <v>943</v>
      </c>
      <c r="AB41" s="85">
        <v>2.12</v>
      </c>
      <c r="AC41" s="85">
        <v>28.4</v>
      </c>
      <c r="AD41" s="83" t="s">
        <v>552</v>
      </c>
      <c r="AE41" s="83" t="s">
        <v>552</v>
      </c>
      <c r="AF41" s="83"/>
      <c r="AG41" s="83"/>
    </row>
    <row r="42" spans="1:33" ht="18.75" thickBot="1" x14ac:dyDescent="0.4">
      <c r="A42" s="2" t="s">
        <v>17</v>
      </c>
      <c r="B42" s="2">
        <f>(1.7+2.5)/2</f>
        <v>2.1</v>
      </c>
      <c r="J42" s="2" t="s">
        <v>270</v>
      </c>
      <c r="K42" s="2">
        <v>600</v>
      </c>
      <c r="L42" s="2"/>
      <c r="M42" s="2" t="s">
        <v>272</v>
      </c>
      <c r="N42" s="2">
        <v>700</v>
      </c>
      <c r="T42" s="82" t="s">
        <v>380</v>
      </c>
      <c r="U42" s="2">
        <v>0.23</v>
      </c>
      <c r="W42" s="86" t="s">
        <v>481</v>
      </c>
      <c r="X42" s="86" t="s">
        <v>482</v>
      </c>
      <c r="AA42" s="2" t="s">
        <v>942</v>
      </c>
      <c r="AB42" s="85">
        <v>2.12</v>
      </c>
      <c r="AC42" s="85">
        <v>31.6</v>
      </c>
      <c r="AD42" s="83" t="s">
        <v>552</v>
      </c>
      <c r="AE42" s="83" t="s">
        <v>552</v>
      </c>
      <c r="AF42" s="83"/>
      <c r="AG42" s="83"/>
    </row>
    <row r="43" spans="1:33" x14ac:dyDescent="0.25">
      <c r="A43" s="2" t="s">
        <v>10</v>
      </c>
      <c r="B43" s="2">
        <f>(0.1+0.4)/2</f>
        <v>0.25</v>
      </c>
      <c r="E43" s="79" t="s">
        <v>235</v>
      </c>
      <c r="J43" s="2" t="s">
        <v>271</v>
      </c>
      <c r="K43" s="2">
        <v>600</v>
      </c>
      <c r="L43" s="2"/>
      <c r="M43" s="2" t="s">
        <v>0</v>
      </c>
      <c r="N43" s="2">
        <v>900</v>
      </c>
      <c r="T43" s="82" t="s">
        <v>381</v>
      </c>
      <c r="U43" s="2">
        <v>8.2100000000000006E-2</v>
      </c>
      <c r="W43" s="2" t="s">
        <v>483</v>
      </c>
      <c r="X43" s="2">
        <v>14600</v>
      </c>
      <c r="AA43" s="2" t="s">
        <v>931</v>
      </c>
      <c r="AB43" s="85">
        <v>2.2000000000000002</v>
      </c>
      <c r="AC43" s="85">
        <v>31.5</v>
      </c>
      <c r="AD43" s="83" t="s">
        <v>552</v>
      </c>
      <c r="AE43" s="83" t="s">
        <v>552</v>
      </c>
      <c r="AF43" s="83"/>
      <c r="AG43" s="83"/>
    </row>
    <row r="44" spans="1:33" x14ac:dyDescent="0.25">
      <c r="A44" s="2" t="s">
        <v>12</v>
      </c>
      <c r="B44" s="2">
        <f>(0.1+1.2)/2</f>
        <v>0.65</v>
      </c>
      <c r="J44" s="2" t="s">
        <v>272</v>
      </c>
      <c r="K44" s="2">
        <v>600</v>
      </c>
      <c r="L44" s="2"/>
      <c r="M44" s="2" t="s">
        <v>277</v>
      </c>
      <c r="N44" s="2">
        <f>N39*1.1</f>
        <v>770.00000000000011</v>
      </c>
      <c r="T44" s="82" t="s">
        <v>382</v>
      </c>
      <c r="U44" s="2">
        <v>0.13500000000000001</v>
      </c>
      <c r="W44" s="2" t="s">
        <v>484</v>
      </c>
      <c r="X44" s="2">
        <v>771</v>
      </c>
      <c r="AA44" s="2" t="s">
        <v>935</v>
      </c>
      <c r="AB44" s="85">
        <v>2.2000000000000002</v>
      </c>
      <c r="AC44" s="85">
        <v>16.8</v>
      </c>
      <c r="AD44" s="83" t="s">
        <v>552</v>
      </c>
      <c r="AE44" s="83" t="s">
        <v>552</v>
      </c>
      <c r="AF44" s="83"/>
      <c r="AG44" s="83"/>
    </row>
    <row r="45" spans="1:33" x14ac:dyDescent="0.25">
      <c r="A45" s="2" t="s">
        <v>18</v>
      </c>
      <c r="B45" s="2">
        <f>(1.7+4.2)/2</f>
        <v>2.95</v>
      </c>
      <c r="E45" s="2">
        <v>2020</v>
      </c>
      <c r="F45" s="2" t="s">
        <v>206</v>
      </c>
      <c r="G45" s="2" t="s">
        <v>207</v>
      </c>
      <c r="H45" s="83">
        <v>0.113</v>
      </c>
      <c r="J45" s="2" t="s">
        <v>0</v>
      </c>
      <c r="K45" s="2">
        <v>700</v>
      </c>
      <c r="L45" s="2"/>
      <c r="T45" s="82" t="s">
        <v>383</v>
      </c>
      <c r="U45" s="2">
        <v>7.7600000000000002E-2</v>
      </c>
      <c r="W45" s="2" t="s">
        <v>485</v>
      </c>
      <c r="X45" s="2">
        <v>3740</v>
      </c>
      <c r="AA45" s="2" t="s">
        <v>945</v>
      </c>
      <c r="AB45" s="85">
        <v>2.12</v>
      </c>
      <c r="AC45" s="85">
        <v>45.9</v>
      </c>
      <c r="AD45" s="83" t="s">
        <v>552</v>
      </c>
      <c r="AE45" s="83" t="s">
        <v>552</v>
      </c>
      <c r="AF45" s="83"/>
      <c r="AG45" s="83"/>
    </row>
    <row r="46" spans="1:33" x14ac:dyDescent="0.25">
      <c r="A46" s="2" t="s">
        <v>24</v>
      </c>
      <c r="B46" s="2">
        <f>(2.6+21)/2</f>
        <v>11.8</v>
      </c>
      <c r="E46" s="2">
        <v>2021</v>
      </c>
      <c r="F46" s="2" t="s">
        <v>206</v>
      </c>
      <c r="G46" s="2" t="s">
        <v>207</v>
      </c>
      <c r="H46" s="83">
        <v>9.2999999999999999E-2</v>
      </c>
      <c r="J46" s="2" t="s">
        <v>277</v>
      </c>
      <c r="K46" s="2">
        <f>K41*1.1</f>
        <v>660</v>
      </c>
      <c r="L46" s="2"/>
      <c r="T46" s="82" t="s">
        <v>384</v>
      </c>
      <c r="U46" s="2">
        <v>0.1283</v>
      </c>
      <c r="W46" s="2" t="s">
        <v>486</v>
      </c>
      <c r="X46" s="2">
        <v>1530</v>
      </c>
      <c r="AA46" s="2" t="s">
        <v>936</v>
      </c>
      <c r="AB46" s="85">
        <v>2.2000000000000002</v>
      </c>
      <c r="AC46" s="85">
        <v>18.399999999999999</v>
      </c>
      <c r="AD46" s="83" t="s">
        <v>552</v>
      </c>
      <c r="AE46" s="83" t="s">
        <v>552</v>
      </c>
      <c r="AF46" s="83"/>
      <c r="AG46" s="83"/>
    </row>
    <row r="47" spans="1:33" x14ac:dyDescent="0.25">
      <c r="A47" s="2" t="s">
        <v>9</v>
      </c>
      <c r="B47" s="2">
        <f>(0.1+3)/2</f>
        <v>1.55</v>
      </c>
      <c r="E47" s="2">
        <v>2020</v>
      </c>
      <c r="F47" s="2" t="s">
        <v>134</v>
      </c>
      <c r="G47" s="2" t="s">
        <v>135</v>
      </c>
      <c r="H47" s="83">
        <v>0.18</v>
      </c>
      <c r="L47" s="2"/>
      <c r="T47" s="82" t="s">
        <v>385</v>
      </c>
      <c r="U47" s="2">
        <v>6.4030000000000004E-2</v>
      </c>
      <c r="W47" s="2" t="s">
        <v>487</v>
      </c>
      <c r="X47" s="87">
        <v>1152</v>
      </c>
      <c r="AA47" s="2" t="s">
        <v>937</v>
      </c>
      <c r="AB47" s="85">
        <v>2.2000000000000002</v>
      </c>
      <c r="AC47" s="85">
        <v>30.5</v>
      </c>
      <c r="AD47" s="83" t="s">
        <v>552</v>
      </c>
      <c r="AE47" s="83" t="s">
        <v>552</v>
      </c>
      <c r="AF47" s="83"/>
      <c r="AG47" s="83"/>
    </row>
    <row r="48" spans="1:33" x14ac:dyDescent="0.25">
      <c r="A48" s="2" t="s">
        <v>26</v>
      </c>
      <c r="B48" s="2">
        <f>(0.3+5)/2</f>
        <v>2.65</v>
      </c>
      <c r="E48" s="2">
        <v>2021</v>
      </c>
      <c r="F48" s="2" t="s">
        <v>134</v>
      </c>
      <c r="G48" s="2" t="s">
        <v>135</v>
      </c>
      <c r="H48" s="83">
        <v>0.16900000000000001</v>
      </c>
      <c r="L48" s="79"/>
      <c r="T48" s="82" t="s">
        <v>386</v>
      </c>
      <c r="U48" s="2">
        <v>0.1079</v>
      </c>
      <c r="W48" s="2" t="s">
        <v>488</v>
      </c>
      <c r="X48" s="87">
        <v>4728</v>
      </c>
      <c r="AA48" s="2" t="s">
        <v>938</v>
      </c>
      <c r="AB48" s="85">
        <v>2.2000000000000002</v>
      </c>
      <c r="AC48" s="85">
        <v>35.6</v>
      </c>
      <c r="AD48" s="83" t="s">
        <v>552</v>
      </c>
      <c r="AE48" s="83" t="s">
        <v>552</v>
      </c>
      <c r="AF48" s="83"/>
      <c r="AG48" s="83"/>
    </row>
    <row r="49" spans="1:33" x14ac:dyDescent="0.25">
      <c r="A49" s="2" t="s">
        <v>43</v>
      </c>
      <c r="B49" s="2">
        <f>(4.3+10.1)/2</f>
        <v>7.1999999999999993</v>
      </c>
      <c r="E49" s="2">
        <v>2022</v>
      </c>
      <c r="F49" s="2" t="s">
        <v>134</v>
      </c>
      <c r="G49" s="2" t="s">
        <v>135</v>
      </c>
      <c r="H49" s="83">
        <v>0.192</v>
      </c>
      <c r="L49" s="79" t="s">
        <v>289</v>
      </c>
      <c r="T49" s="82" t="s">
        <v>387</v>
      </c>
      <c r="U49" s="2">
        <v>4.3700000000000003E-2</v>
      </c>
      <c r="W49" s="2" t="s">
        <v>489</v>
      </c>
      <c r="X49" s="87">
        <v>2262</v>
      </c>
      <c r="AA49" s="2" t="s">
        <v>944</v>
      </c>
      <c r="AB49" s="85">
        <v>2.12</v>
      </c>
      <c r="AC49" s="85">
        <v>51.7</v>
      </c>
      <c r="AD49" s="83" t="s">
        <v>552</v>
      </c>
      <c r="AE49" s="83" t="s">
        <v>552</v>
      </c>
      <c r="AF49" s="83"/>
      <c r="AG49" s="83"/>
    </row>
    <row r="50" spans="1:33" x14ac:dyDescent="0.25">
      <c r="A50" s="2" t="s">
        <v>40</v>
      </c>
      <c r="B50" s="2">
        <f>(1.2+4.7)/2</f>
        <v>2.95</v>
      </c>
      <c r="E50" s="2">
        <v>2020</v>
      </c>
      <c r="F50" s="2" t="s">
        <v>215</v>
      </c>
      <c r="G50" s="2" t="s">
        <v>183</v>
      </c>
      <c r="H50" s="83">
        <v>0.13900000000000001</v>
      </c>
      <c r="J50" s="2">
        <v>2020</v>
      </c>
      <c r="K50" s="2" t="s">
        <v>269</v>
      </c>
      <c r="L50" s="85">
        <v>2.0958999999999999</v>
      </c>
      <c r="N50" s="2" t="s">
        <v>269</v>
      </c>
      <c r="T50" s="82" t="s">
        <v>388</v>
      </c>
      <c r="U50" s="2">
        <v>7.7399999999999997E-2</v>
      </c>
      <c r="W50" s="2" t="s">
        <v>490</v>
      </c>
      <c r="X50" s="87">
        <v>1908</v>
      </c>
      <c r="AA50" s="2" t="s">
        <v>950</v>
      </c>
      <c r="AB50" s="2">
        <v>2.41</v>
      </c>
      <c r="AC50" s="83" t="s">
        <v>552</v>
      </c>
      <c r="AD50" s="2">
        <v>5.9</v>
      </c>
      <c r="AE50" s="83" t="s">
        <v>552</v>
      </c>
      <c r="AF50" s="83"/>
      <c r="AG50" s="83"/>
    </row>
    <row r="51" spans="1:33" x14ac:dyDescent="0.25">
      <c r="A51" s="2" t="s">
        <v>34</v>
      </c>
      <c r="B51" s="2">
        <f>(0.8+2.5)/2</f>
        <v>1.65</v>
      </c>
      <c r="E51" s="2">
        <v>2021</v>
      </c>
      <c r="F51" s="2" t="s">
        <v>215</v>
      </c>
      <c r="G51" s="2" t="s">
        <v>183</v>
      </c>
      <c r="H51" s="83">
        <v>5.8000000000000003E-2</v>
      </c>
      <c r="J51" s="2">
        <v>2021</v>
      </c>
      <c r="K51" s="2" t="s">
        <v>269</v>
      </c>
      <c r="L51" s="85">
        <v>2.0830000000000002</v>
      </c>
      <c r="N51" s="2" t="s">
        <v>270</v>
      </c>
      <c r="T51" s="82" t="s">
        <v>389</v>
      </c>
      <c r="U51" s="2">
        <v>3.6900000000000002E-2</v>
      </c>
      <c r="W51" s="2" t="s">
        <v>491</v>
      </c>
      <c r="X51" s="87">
        <v>1965</v>
      </c>
      <c r="AA51" s="2" t="s">
        <v>951</v>
      </c>
      <c r="AB51" s="2">
        <v>2.41</v>
      </c>
      <c r="AC51" s="83" t="s">
        <v>552</v>
      </c>
      <c r="AD51" s="2">
        <v>5.4</v>
      </c>
      <c r="AE51" s="83" t="s">
        <v>552</v>
      </c>
      <c r="AF51" s="83"/>
      <c r="AG51" s="83"/>
    </row>
    <row r="52" spans="1:33" x14ac:dyDescent="0.25">
      <c r="A52" s="2" t="s">
        <v>25</v>
      </c>
      <c r="B52" s="2">
        <f>(0.1+1)/2</f>
        <v>0.55000000000000004</v>
      </c>
      <c r="E52" s="2">
        <v>2022</v>
      </c>
      <c r="F52" s="2" t="s">
        <v>215</v>
      </c>
      <c r="G52" s="2" t="s">
        <v>183</v>
      </c>
      <c r="H52" s="83">
        <v>2.9000000000000001E-2</v>
      </c>
      <c r="J52" s="2">
        <v>2022</v>
      </c>
      <c r="K52" s="2" t="s">
        <v>269</v>
      </c>
      <c r="L52" s="85">
        <v>2.0432000000000001</v>
      </c>
      <c r="N52" s="2" t="s">
        <v>288</v>
      </c>
      <c r="T52" s="82" t="s">
        <v>390</v>
      </c>
      <c r="U52" s="2">
        <v>6.7199999999999996E-2</v>
      </c>
      <c r="W52" s="2" t="s">
        <v>492</v>
      </c>
      <c r="X52" s="87">
        <v>2256</v>
      </c>
      <c r="AA52" s="2" t="s">
        <v>974</v>
      </c>
      <c r="AB52" s="2">
        <v>2.41</v>
      </c>
      <c r="AC52" s="83" t="s">
        <v>552</v>
      </c>
      <c r="AD52" s="2">
        <v>5</v>
      </c>
      <c r="AE52" s="83" t="s">
        <v>552</v>
      </c>
      <c r="AF52" s="83"/>
      <c r="AG52" s="83"/>
    </row>
    <row r="53" spans="1:33" x14ac:dyDescent="0.25">
      <c r="A53" s="2" t="s">
        <v>48</v>
      </c>
      <c r="B53" s="2">
        <f>(1.1+11)/2</f>
        <v>6.05</v>
      </c>
      <c r="E53" s="2">
        <v>2020</v>
      </c>
      <c r="F53" s="2" t="s">
        <v>126</v>
      </c>
      <c r="G53" s="2" t="s">
        <v>127</v>
      </c>
      <c r="H53" s="83">
        <v>2.1000000000000001E-2</v>
      </c>
      <c r="J53" s="2">
        <v>2023</v>
      </c>
      <c r="K53" s="2" t="s">
        <v>269</v>
      </c>
      <c r="L53" s="85">
        <v>2.0356000000000001</v>
      </c>
      <c r="N53" s="2" t="s">
        <v>290</v>
      </c>
      <c r="T53" s="82"/>
      <c r="W53" s="2" t="s">
        <v>493</v>
      </c>
      <c r="X53" s="87">
        <v>2183</v>
      </c>
      <c r="AA53" s="2" t="s">
        <v>952</v>
      </c>
      <c r="AB53" s="2">
        <v>2.41</v>
      </c>
      <c r="AC53" s="83" t="s">
        <v>552</v>
      </c>
      <c r="AD53" s="2">
        <v>9.1999999999999993</v>
      </c>
      <c r="AE53" s="83" t="s">
        <v>552</v>
      </c>
      <c r="AF53" s="83"/>
      <c r="AG53" s="83"/>
    </row>
    <row r="54" spans="1:33" x14ac:dyDescent="0.25">
      <c r="A54" s="2" t="s">
        <v>56</v>
      </c>
      <c r="B54" s="2">
        <f>(7.1+11)/2</f>
        <v>9.0500000000000007</v>
      </c>
      <c r="E54" s="2">
        <v>2021</v>
      </c>
      <c r="F54" s="2" t="s">
        <v>126</v>
      </c>
      <c r="G54" s="2" t="s">
        <v>127</v>
      </c>
      <c r="H54" s="83">
        <v>6.5000000000000002E-2</v>
      </c>
      <c r="J54" s="2">
        <v>2020</v>
      </c>
      <c r="K54" s="2" t="s">
        <v>270</v>
      </c>
      <c r="L54" s="85">
        <v>2.2374000000000001</v>
      </c>
      <c r="N54" s="2" t="s">
        <v>291</v>
      </c>
      <c r="T54" s="82" t="s">
        <v>391</v>
      </c>
      <c r="U54" s="2">
        <v>0.1285</v>
      </c>
      <c r="W54" s="2" t="s">
        <v>494</v>
      </c>
      <c r="X54" s="87">
        <v>2485</v>
      </c>
      <c r="AA54" s="2" t="s">
        <v>953</v>
      </c>
      <c r="AB54" s="2">
        <v>2.41</v>
      </c>
      <c r="AC54" s="83" t="s">
        <v>552</v>
      </c>
      <c r="AD54" s="2">
        <v>8.8000000000000007</v>
      </c>
      <c r="AE54" s="83" t="s">
        <v>552</v>
      </c>
      <c r="AF54" s="83"/>
      <c r="AG54" s="83"/>
    </row>
    <row r="55" spans="1:33" x14ac:dyDescent="0.25">
      <c r="A55" s="2" t="s">
        <v>55</v>
      </c>
      <c r="B55" s="2">
        <v>2</v>
      </c>
      <c r="E55" s="2">
        <v>2020</v>
      </c>
      <c r="F55" s="2" t="s">
        <v>180</v>
      </c>
      <c r="G55" s="2" t="s">
        <v>181</v>
      </c>
      <c r="H55" s="83">
        <v>0.04</v>
      </c>
      <c r="J55" s="2">
        <v>2021</v>
      </c>
      <c r="K55" s="2" t="s">
        <v>270</v>
      </c>
      <c r="L55" s="85">
        <v>2.2654000000000001</v>
      </c>
      <c r="T55" s="82" t="s">
        <v>392</v>
      </c>
      <c r="U55" s="2">
        <v>0.20380000000000001</v>
      </c>
      <c r="W55" s="2" t="s">
        <v>495</v>
      </c>
      <c r="X55" s="87">
        <v>3347</v>
      </c>
      <c r="AA55" s="2" t="s">
        <v>954</v>
      </c>
      <c r="AB55" s="2">
        <v>2.41</v>
      </c>
      <c r="AC55" s="83" t="s">
        <v>552</v>
      </c>
      <c r="AD55" s="2">
        <v>11.9</v>
      </c>
      <c r="AE55" s="83" t="s">
        <v>552</v>
      </c>
      <c r="AF55" s="83"/>
      <c r="AG55" s="83"/>
    </row>
    <row r="56" spans="1:33" x14ac:dyDescent="0.25">
      <c r="A56" s="2" t="s">
        <v>47</v>
      </c>
      <c r="B56" s="2">
        <f>(0.5+4.7)/2</f>
        <v>2.6</v>
      </c>
      <c r="E56" s="2">
        <v>2021</v>
      </c>
      <c r="F56" s="2" t="s">
        <v>180</v>
      </c>
      <c r="G56" s="2" t="s">
        <v>181</v>
      </c>
      <c r="H56" s="83">
        <v>1.4E-2</v>
      </c>
      <c r="J56" s="2">
        <v>2022</v>
      </c>
      <c r="K56" s="2" t="s">
        <v>270</v>
      </c>
      <c r="L56" s="85">
        <v>1.9026000000000001</v>
      </c>
      <c r="N56" s="2"/>
      <c r="T56" s="82" t="s">
        <v>393</v>
      </c>
      <c r="U56" s="2">
        <v>7.4200000000000002E-2</v>
      </c>
      <c r="W56" s="2" t="s">
        <v>496</v>
      </c>
      <c r="X56" s="87">
        <v>2726</v>
      </c>
      <c r="AA56" s="2" t="s">
        <v>955</v>
      </c>
      <c r="AB56" s="2">
        <v>2.41</v>
      </c>
      <c r="AC56" s="83" t="s">
        <v>552</v>
      </c>
      <c r="AD56" s="2">
        <v>11.2</v>
      </c>
      <c r="AE56" s="83" t="s">
        <v>552</v>
      </c>
      <c r="AF56" s="83"/>
      <c r="AG56" s="83"/>
    </row>
    <row r="57" spans="1:33" x14ac:dyDescent="0.25">
      <c r="E57" s="2">
        <v>2020</v>
      </c>
      <c r="F57" s="2" t="s">
        <v>218</v>
      </c>
      <c r="G57" s="2" t="s">
        <v>170</v>
      </c>
      <c r="H57" s="83">
        <v>0.13400000000000001</v>
      </c>
      <c r="J57" s="2">
        <v>2023</v>
      </c>
      <c r="K57" s="2" t="s">
        <v>270</v>
      </c>
      <c r="L57" s="85">
        <v>2.1574</v>
      </c>
      <c r="N57" s="2" t="s">
        <v>294</v>
      </c>
      <c r="O57" s="2">
        <v>0.17599999999999999</v>
      </c>
      <c r="T57" s="82" t="s">
        <v>394</v>
      </c>
      <c r="U57" s="2">
        <v>0.1207</v>
      </c>
      <c r="W57" s="2" t="s">
        <v>497</v>
      </c>
      <c r="X57" s="87">
        <v>2608</v>
      </c>
      <c r="AA57" s="2" t="s">
        <v>975</v>
      </c>
      <c r="AB57" s="2">
        <v>2.41</v>
      </c>
      <c r="AC57" s="83" t="s">
        <v>552</v>
      </c>
      <c r="AD57" s="2">
        <v>10.6</v>
      </c>
      <c r="AE57" s="83" t="s">
        <v>552</v>
      </c>
      <c r="AF57" s="83"/>
      <c r="AG57" s="83"/>
    </row>
    <row r="58" spans="1:33" x14ac:dyDescent="0.25">
      <c r="E58" s="2">
        <v>2020</v>
      </c>
      <c r="F58" s="2" t="s">
        <v>218</v>
      </c>
      <c r="G58" s="2" t="s">
        <v>219</v>
      </c>
      <c r="H58" s="83">
        <v>1.6E-2</v>
      </c>
      <c r="J58" s="2">
        <v>2020</v>
      </c>
      <c r="K58" s="2" t="s">
        <v>288</v>
      </c>
      <c r="L58" s="85">
        <v>1.5647</v>
      </c>
      <c r="N58" s="2" t="s">
        <v>295</v>
      </c>
      <c r="O58" s="2">
        <v>3.5000000000000003E-2</v>
      </c>
      <c r="T58" s="82" t="s">
        <v>395</v>
      </c>
      <c r="U58" s="2">
        <v>7.0400000000000004E-2</v>
      </c>
      <c r="W58" s="2" t="s">
        <v>498</v>
      </c>
      <c r="X58" s="87">
        <v>1614</v>
      </c>
      <c r="AA58" s="2" t="s">
        <v>956</v>
      </c>
      <c r="AB58" s="2">
        <v>2.41</v>
      </c>
      <c r="AC58" s="83" t="s">
        <v>552</v>
      </c>
      <c r="AD58" s="2">
        <v>15</v>
      </c>
      <c r="AE58" s="83" t="s">
        <v>552</v>
      </c>
      <c r="AF58" s="83"/>
      <c r="AG58" s="83"/>
    </row>
    <row r="59" spans="1:33" ht="18" x14ac:dyDescent="0.35">
      <c r="A59" s="79" t="s">
        <v>19</v>
      </c>
      <c r="B59" s="79" t="s">
        <v>104</v>
      </c>
      <c r="E59" s="2">
        <v>2021</v>
      </c>
      <c r="F59" s="2" t="s">
        <v>218</v>
      </c>
      <c r="G59" s="2" t="s">
        <v>170</v>
      </c>
      <c r="H59" s="83">
        <v>0.14899999999999999</v>
      </c>
      <c r="J59" s="2">
        <v>2021</v>
      </c>
      <c r="K59" s="2" t="s">
        <v>288</v>
      </c>
      <c r="L59" s="85">
        <v>1.5647</v>
      </c>
      <c r="N59" s="2" t="s">
        <v>296</v>
      </c>
      <c r="O59" s="2">
        <v>2E-3</v>
      </c>
      <c r="T59" s="82" t="s">
        <v>396</v>
      </c>
      <c r="U59" s="2">
        <v>0.1148</v>
      </c>
      <c r="W59" s="2" t="s">
        <v>499</v>
      </c>
      <c r="X59" s="87">
        <v>2397</v>
      </c>
      <c r="AA59" s="2" t="s">
        <v>957</v>
      </c>
      <c r="AB59" s="2">
        <v>2.41</v>
      </c>
      <c r="AC59" s="83" t="s">
        <v>552</v>
      </c>
      <c r="AD59" s="2">
        <v>14.2</v>
      </c>
      <c r="AE59" s="83" t="s">
        <v>552</v>
      </c>
      <c r="AF59" s="83"/>
      <c r="AG59" s="83"/>
    </row>
    <row r="60" spans="1:33" x14ac:dyDescent="0.25">
      <c r="A60" s="79"/>
      <c r="B60" s="2">
        <v>0</v>
      </c>
      <c r="E60" s="2">
        <v>2021</v>
      </c>
      <c r="F60" s="2" t="s">
        <v>218</v>
      </c>
      <c r="G60" s="2" t="s">
        <v>219</v>
      </c>
      <c r="H60" s="83">
        <v>8.0000000000000002E-3</v>
      </c>
      <c r="J60" s="2">
        <v>2022</v>
      </c>
      <c r="K60" s="2" t="s">
        <v>288</v>
      </c>
      <c r="L60" s="85">
        <v>1.5647</v>
      </c>
      <c r="N60" s="2" t="s">
        <v>297</v>
      </c>
      <c r="O60" s="2">
        <v>8.9999999999999993E-3</v>
      </c>
      <c r="T60" s="82" t="s">
        <v>397</v>
      </c>
      <c r="U60" s="2">
        <v>5.8700000000000002E-2</v>
      </c>
      <c r="W60" s="2" t="s">
        <v>500</v>
      </c>
      <c r="X60" s="87">
        <v>4083</v>
      </c>
      <c r="AA60" s="2" t="s">
        <v>958</v>
      </c>
      <c r="AB60" s="2">
        <v>2.41</v>
      </c>
      <c r="AC60" s="83" t="s">
        <v>552</v>
      </c>
      <c r="AD60" s="2">
        <v>18.399999999999999</v>
      </c>
      <c r="AE60" s="83" t="s">
        <v>552</v>
      </c>
      <c r="AF60" s="83"/>
      <c r="AG60" s="83"/>
    </row>
    <row r="61" spans="1:33" x14ac:dyDescent="0.25">
      <c r="A61" s="2" t="s">
        <v>95</v>
      </c>
      <c r="B61" s="85">
        <v>0.1</v>
      </c>
      <c r="C61" s="2"/>
      <c r="E61" s="2">
        <v>2022</v>
      </c>
      <c r="F61" s="2" t="s">
        <v>218</v>
      </c>
      <c r="G61" s="2" t="s">
        <v>170</v>
      </c>
      <c r="H61" s="83">
        <v>0.105</v>
      </c>
      <c r="J61" s="2">
        <v>2023</v>
      </c>
      <c r="K61" s="2" t="s">
        <v>288</v>
      </c>
      <c r="L61" s="85">
        <v>1.5647</v>
      </c>
      <c r="N61" s="2" t="s">
        <v>298</v>
      </c>
      <c r="O61" s="2">
        <v>1.4999999999999999E-2</v>
      </c>
      <c r="T61" s="82" t="s">
        <v>398</v>
      </c>
      <c r="U61" s="2">
        <v>9.69E-2</v>
      </c>
      <c r="W61" s="2" t="s">
        <v>501</v>
      </c>
      <c r="X61" s="87">
        <v>3654</v>
      </c>
      <c r="AA61" s="2" t="s">
        <v>959</v>
      </c>
      <c r="AB61" s="2">
        <v>2.41</v>
      </c>
      <c r="AC61" s="83" t="s">
        <v>552</v>
      </c>
      <c r="AD61" s="2">
        <v>17.600000000000001</v>
      </c>
      <c r="AE61" s="83" t="s">
        <v>552</v>
      </c>
      <c r="AF61" s="83"/>
      <c r="AG61" s="83"/>
    </row>
    <row r="62" spans="1:33" x14ac:dyDescent="0.25">
      <c r="A62" s="2" t="s">
        <v>102</v>
      </c>
      <c r="B62" s="85">
        <v>2.66</v>
      </c>
      <c r="E62" s="2">
        <v>2020</v>
      </c>
      <c r="F62" s="2" t="s">
        <v>118</v>
      </c>
      <c r="G62" s="2" t="s">
        <v>119</v>
      </c>
      <c r="H62" s="83">
        <v>0.25600000000000001</v>
      </c>
      <c r="J62" s="2">
        <v>2020</v>
      </c>
      <c r="K62" s="2" t="s">
        <v>290</v>
      </c>
      <c r="L62" s="85">
        <v>2.6469</v>
      </c>
      <c r="N62" s="2" t="s">
        <v>299</v>
      </c>
      <c r="O62" s="2">
        <v>0.17299999999999999</v>
      </c>
      <c r="T62" s="82" t="s">
        <v>399</v>
      </c>
      <c r="U62" s="2">
        <v>4.1300000000000003E-2</v>
      </c>
      <c r="W62" s="2" t="s">
        <v>502</v>
      </c>
      <c r="X62" s="87">
        <v>1930</v>
      </c>
      <c r="AA62" s="2" t="s">
        <v>960</v>
      </c>
      <c r="AB62" s="2">
        <v>2.41</v>
      </c>
      <c r="AC62" s="83" t="s">
        <v>552</v>
      </c>
      <c r="AD62" s="2">
        <v>23.2</v>
      </c>
      <c r="AE62" s="83" t="s">
        <v>552</v>
      </c>
      <c r="AF62" s="83"/>
      <c r="AG62" s="83"/>
    </row>
    <row r="63" spans="1:33" x14ac:dyDescent="0.25">
      <c r="A63" s="2" t="s">
        <v>99</v>
      </c>
      <c r="B63" s="85">
        <v>2.66</v>
      </c>
      <c r="E63" s="2">
        <v>2021</v>
      </c>
      <c r="F63" s="2" t="s">
        <v>118</v>
      </c>
      <c r="G63" s="2" t="s">
        <v>119</v>
      </c>
      <c r="H63" s="83">
        <v>0.24199999999999999</v>
      </c>
      <c r="J63" s="2">
        <v>2021</v>
      </c>
      <c r="K63" s="2" t="s">
        <v>290</v>
      </c>
      <c r="L63" s="85">
        <v>2.5672000000000001</v>
      </c>
      <c r="N63" s="2"/>
      <c r="T63" s="82" t="s">
        <v>400</v>
      </c>
      <c r="U63" s="2">
        <v>7.0199999999999999E-2</v>
      </c>
      <c r="W63" s="2" t="s">
        <v>503</v>
      </c>
      <c r="X63" s="87">
        <v>2425</v>
      </c>
      <c r="AA63" s="2" t="s">
        <v>961</v>
      </c>
      <c r="AB63" s="2">
        <v>2.41</v>
      </c>
      <c r="AC63" s="83" t="s">
        <v>552</v>
      </c>
      <c r="AD63" s="2">
        <v>22.3</v>
      </c>
      <c r="AE63" s="83" t="s">
        <v>552</v>
      </c>
      <c r="AF63" s="83"/>
      <c r="AG63" s="83"/>
    </row>
    <row r="64" spans="1:33" x14ac:dyDescent="0.25">
      <c r="A64" s="2" t="s">
        <v>103</v>
      </c>
      <c r="B64" s="85">
        <v>1.2330000000000001</v>
      </c>
      <c r="E64" s="2">
        <v>2020</v>
      </c>
      <c r="F64" s="2" t="s">
        <v>167</v>
      </c>
      <c r="G64" s="2" t="s">
        <v>168</v>
      </c>
      <c r="H64" s="83">
        <v>0.129</v>
      </c>
      <c r="J64" s="2">
        <v>2022</v>
      </c>
      <c r="K64" s="2" t="s">
        <v>290</v>
      </c>
      <c r="L64" s="85">
        <v>2.536</v>
      </c>
      <c r="N64" s="2" t="s">
        <v>303</v>
      </c>
      <c r="T64" s="82" t="s">
        <v>401</v>
      </c>
      <c r="U64" s="2">
        <v>3.5499999999999997E-2</v>
      </c>
      <c r="W64" s="2" t="s">
        <v>504</v>
      </c>
      <c r="X64" s="87">
        <v>2238</v>
      </c>
      <c r="AA64" s="2" t="s">
        <v>962</v>
      </c>
      <c r="AB64" s="2">
        <v>2.41</v>
      </c>
      <c r="AC64" s="83" t="s">
        <v>552</v>
      </c>
      <c r="AD64" s="2">
        <v>28.3</v>
      </c>
      <c r="AE64" s="83" t="s">
        <v>552</v>
      </c>
      <c r="AF64" s="83"/>
      <c r="AG64" s="83"/>
    </row>
    <row r="65" spans="1:33" x14ac:dyDescent="0.25">
      <c r="A65" s="2" t="s">
        <v>100</v>
      </c>
      <c r="B65" s="85">
        <v>2.66</v>
      </c>
      <c r="E65" s="2">
        <v>2021</v>
      </c>
      <c r="F65" s="2" t="s">
        <v>167</v>
      </c>
      <c r="G65" s="2" t="s">
        <v>168</v>
      </c>
      <c r="H65" s="83">
        <v>0.223</v>
      </c>
      <c r="J65" s="2">
        <v>2023</v>
      </c>
      <c r="K65" s="2" t="s">
        <v>290</v>
      </c>
      <c r="L65" s="85">
        <v>2.5038999999999998</v>
      </c>
      <c r="N65" s="2" t="s">
        <v>294</v>
      </c>
      <c r="O65" s="2">
        <v>0.36299999999999999</v>
      </c>
      <c r="T65" s="82" t="s">
        <v>402</v>
      </c>
      <c r="U65" s="2">
        <v>6.13E-2</v>
      </c>
      <c r="W65" s="2" t="s">
        <v>505</v>
      </c>
      <c r="X65" s="87">
        <v>1494</v>
      </c>
      <c r="AA65" s="2" t="s">
        <v>963</v>
      </c>
      <c r="AB65" s="2">
        <v>2.41</v>
      </c>
      <c r="AC65" s="83" t="s">
        <v>552</v>
      </c>
      <c r="AD65" s="2">
        <v>27.3</v>
      </c>
      <c r="AE65" s="83" t="s">
        <v>552</v>
      </c>
      <c r="AF65" s="83"/>
      <c r="AG65" s="83"/>
    </row>
    <row r="66" spans="1:33" x14ac:dyDescent="0.25">
      <c r="A66" s="2" t="s">
        <v>89</v>
      </c>
      <c r="B66" s="85">
        <v>0.99399999999999999</v>
      </c>
      <c r="E66" s="2">
        <v>2020</v>
      </c>
      <c r="F66" s="2" t="s">
        <v>169</v>
      </c>
      <c r="G66" s="2" t="s">
        <v>170</v>
      </c>
      <c r="H66" s="83">
        <v>6.9000000000000006E-2</v>
      </c>
      <c r="J66" s="2">
        <v>2020</v>
      </c>
      <c r="K66" s="2" t="s">
        <v>291</v>
      </c>
      <c r="L66" s="85">
        <v>2.8628</v>
      </c>
      <c r="N66" s="2" t="s">
        <v>295</v>
      </c>
      <c r="O66" s="2">
        <v>0.35199999999999998</v>
      </c>
      <c r="T66" s="82"/>
      <c r="W66" s="2" t="s">
        <v>506</v>
      </c>
      <c r="X66" s="87">
        <v>1504</v>
      </c>
      <c r="AA66" s="2" t="s">
        <v>964</v>
      </c>
      <c r="AB66" s="2">
        <v>2.41</v>
      </c>
      <c r="AC66" s="83" t="s">
        <v>552</v>
      </c>
      <c r="AD66" s="2">
        <v>43.8</v>
      </c>
      <c r="AE66" s="83" t="s">
        <v>552</v>
      </c>
      <c r="AF66" s="83"/>
      <c r="AG66" s="83"/>
    </row>
    <row r="67" spans="1:33" x14ac:dyDescent="0.25">
      <c r="A67" s="2" t="s">
        <v>97</v>
      </c>
      <c r="B67" s="85">
        <v>1.2330000000000001</v>
      </c>
      <c r="E67" s="2">
        <v>2021</v>
      </c>
      <c r="F67" s="2" t="s">
        <v>169</v>
      </c>
      <c r="G67" s="2" t="s">
        <v>170</v>
      </c>
      <c r="H67" s="83">
        <v>2.4E-2</v>
      </c>
      <c r="J67" s="2">
        <v>2021</v>
      </c>
      <c r="K67" s="2" t="s">
        <v>291</v>
      </c>
      <c r="L67" s="85">
        <v>2.8628</v>
      </c>
      <c r="N67" s="2" t="s">
        <v>296</v>
      </c>
      <c r="O67" s="2">
        <v>0.246</v>
      </c>
      <c r="T67" s="82" t="s">
        <v>403</v>
      </c>
      <c r="U67" s="2">
        <v>0.1013</v>
      </c>
      <c r="W67" s="2" t="s">
        <v>507</v>
      </c>
      <c r="X67" s="87">
        <v>2292</v>
      </c>
      <c r="AA67" s="2" t="s">
        <v>965</v>
      </c>
      <c r="AB67" s="2">
        <v>2.41</v>
      </c>
      <c r="AC67" s="83" t="s">
        <v>552</v>
      </c>
      <c r="AD67" s="2">
        <v>42.6</v>
      </c>
      <c r="AE67" s="83" t="s">
        <v>552</v>
      </c>
      <c r="AF67" s="83"/>
      <c r="AG67" s="83"/>
    </row>
    <row r="68" spans="1:33" x14ac:dyDescent="0.25">
      <c r="A68" s="2" t="s">
        <v>93</v>
      </c>
      <c r="B68" s="85">
        <v>0.99399999999999999</v>
      </c>
      <c r="E68" s="2">
        <v>2022</v>
      </c>
      <c r="F68" s="2" t="s">
        <v>169</v>
      </c>
      <c r="G68" s="2" t="s">
        <v>170</v>
      </c>
      <c r="H68" s="83">
        <v>2.1999999999999999E-2</v>
      </c>
      <c r="J68" s="2">
        <v>2022</v>
      </c>
      <c r="K68" s="2" t="s">
        <v>291</v>
      </c>
      <c r="L68" s="85">
        <v>2.8628</v>
      </c>
      <c r="N68" s="2" t="s">
        <v>297</v>
      </c>
      <c r="O68" s="2">
        <v>0.66300000000000003</v>
      </c>
      <c r="T68" s="82" t="s">
        <v>404</v>
      </c>
      <c r="U68" s="2">
        <v>0.16450000000000001</v>
      </c>
      <c r="W68" s="2" t="s">
        <v>508</v>
      </c>
      <c r="X68" s="87">
        <v>4775</v>
      </c>
      <c r="AA68" s="2" t="s">
        <v>966</v>
      </c>
      <c r="AB68" s="2">
        <v>2.41</v>
      </c>
      <c r="AC68" s="83" t="s">
        <v>552</v>
      </c>
      <c r="AD68" s="2">
        <v>55.5</v>
      </c>
      <c r="AE68" s="83" t="s">
        <v>552</v>
      </c>
      <c r="AF68" s="83"/>
      <c r="AG68" s="83"/>
    </row>
    <row r="69" spans="1:33" x14ac:dyDescent="0.25">
      <c r="A69" s="2" t="s">
        <v>90</v>
      </c>
      <c r="B69" s="85">
        <v>0.99399999999999999</v>
      </c>
      <c r="E69" s="2">
        <v>2020</v>
      </c>
      <c r="F69" s="2" t="s">
        <v>189</v>
      </c>
      <c r="G69" s="2" t="s">
        <v>117</v>
      </c>
      <c r="H69" s="83">
        <v>0.19500000000000001</v>
      </c>
      <c r="J69" s="2">
        <v>2023</v>
      </c>
      <c r="K69" s="2" t="s">
        <v>291</v>
      </c>
      <c r="L69" s="85">
        <v>2.8628</v>
      </c>
      <c r="N69" s="2" t="s">
        <v>298</v>
      </c>
      <c r="O69" s="2">
        <v>0.27400000000000002</v>
      </c>
      <c r="T69" s="82" t="s">
        <v>405</v>
      </c>
      <c r="U69" s="2">
        <v>5.8400000000000001E-2</v>
      </c>
      <c r="W69" s="2" t="s">
        <v>509</v>
      </c>
      <c r="X69" s="87">
        <v>13010</v>
      </c>
      <c r="AA69" s="2" t="s">
        <v>967</v>
      </c>
      <c r="AB69" s="2">
        <v>2.41</v>
      </c>
      <c r="AC69" s="83" t="s">
        <v>552</v>
      </c>
      <c r="AD69" s="2">
        <v>54.2</v>
      </c>
      <c r="AE69" s="83" t="s">
        <v>552</v>
      </c>
      <c r="AF69" s="83"/>
      <c r="AG69" s="83"/>
    </row>
    <row r="70" spans="1:33" x14ac:dyDescent="0.25">
      <c r="A70" s="2" t="s">
        <v>92</v>
      </c>
      <c r="B70" s="85">
        <v>0.35799999999999998</v>
      </c>
      <c r="E70" s="2">
        <v>2021</v>
      </c>
      <c r="F70" s="2" t="s">
        <v>189</v>
      </c>
      <c r="G70" s="2" t="s">
        <v>117</v>
      </c>
      <c r="H70" s="83">
        <v>0.13200000000000001</v>
      </c>
      <c r="N70" s="2" t="s">
        <v>299</v>
      </c>
      <c r="O70" s="2">
        <v>1.486</v>
      </c>
      <c r="T70" s="82" t="s">
        <v>406</v>
      </c>
      <c r="U70" s="2">
        <v>9.8100000000000007E-2</v>
      </c>
      <c r="W70" s="2" t="s">
        <v>510</v>
      </c>
      <c r="X70" s="87">
        <v>13412</v>
      </c>
      <c r="AA70" s="2" t="s">
        <v>968</v>
      </c>
      <c r="AB70" s="2">
        <v>2.41</v>
      </c>
      <c r="AC70" s="83" t="s">
        <v>552</v>
      </c>
      <c r="AD70" s="2">
        <v>69.900000000000006</v>
      </c>
      <c r="AE70" s="83" t="s">
        <v>552</v>
      </c>
      <c r="AF70" s="83"/>
      <c r="AG70" s="83"/>
    </row>
    <row r="71" spans="1:33" x14ac:dyDescent="0.25">
      <c r="A71" s="2" t="s">
        <v>86</v>
      </c>
      <c r="B71" s="85">
        <v>0.88900000000000001</v>
      </c>
      <c r="E71" s="2">
        <v>2020</v>
      </c>
      <c r="F71" s="2" t="s">
        <v>184</v>
      </c>
      <c r="G71" s="2" t="s">
        <v>183</v>
      </c>
      <c r="H71" s="83">
        <v>0.51</v>
      </c>
      <c r="N71" s="2"/>
      <c r="T71" s="82" t="s">
        <v>407</v>
      </c>
      <c r="U71" s="2">
        <v>5.5300000000000002E-2</v>
      </c>
      <c r="W71" s="2" t="s">
        <v>511</v>
      </c>
      <c r="X71" s="87">
        <v>673</v>
      </c>
      <c r="AA71" s="2" t="s">
        <v>969</v>
      </c>
      <c r="AB71" s="2">
        <v>2.41</v>
      </c>
      <c r="AC71" s="83" t="s">
        <v>552</v>
      </c>
      <c r="AD71" s="2">
        <v>68</v>
      </c>
      <c r="AE71" s="83" t="s">
        <v>552</v>
      </c>
      <c r="AF71" s="83"/>
      <c r="AG71" s="83"/>
    </row>
    <row r="72" spans="1:33" x14ac:dyDescent="0.25">
      <c r="A72" s="2" t="s">
        <v>101</v>
      </c>
      <c r="B72" s="85">
        <v>2.66</v>
      </c>
      <c r="E72" s="2">
        <v>2021</v>
      </c>
      <c r="F72" s="2" t="s">
        <v>184</v>
      </c>
      <c r="G72" s="2" t="s">
        <v>183</v>
      </c>
      <c r="H72" s="83">
        <v>0.46100000000000002</v>
      </c>
      <c r="N72" s="2"/>
      <c r="T72" s="82" t="s">
        <v>408</v>
      </c>
      <c r="U72" s="2">
        <v>9.3399999999999997E-2</v>
      </c>
      <c r="W72" s="2" t="s">
        <v>512</v>
      </c>
      <c r="X72" s="87">
        <v>4053</v>
      </c>
      <c r="AA72" s="2" t="s">
        <v>970</v>
      </c>
      <c r="AB72" s="2">
        <v>2.41</v>
      </c>
      <c r="AC72" s="83" t="s">
        <v>552</v>
      </c>
      <c r="AD72" s="2">
        <v>86.3</v>
      </c>
      <c r="AE72" s="83" t="s">
        <v>552</v>
      </c>
      <c r="AF72" s="83"/>
      <c r="AG72" s="83"/>
    </row>
    <row r="73" spans="1:33" x14ac:dyDescent="0.25">
      <c r="A73" s="2" t="s">
        <v>88</v>
      </c>
      <c r="B73" s="85">
        <v>0.89900000000000002</v>
      </c>
      <c r="E73" s="2">
        <v>2020</v>
      </c>
      <c r="F73" s="2" t="s">
        <v>122</v>
      </c>
      <c r="G73" s="2" t="s">
        <v>123</v>
      </c>
      <c r="H73" s="83">
        <v>0</v>
      </c>
      <c r="T73" s="82" t="s">
        <v>409</v>
      </c>
      <c r="U73" s="2">
        <v>4.6199999999999998E-2</v>
      </c>
      <c r="AA73" s="2" t="s">
        <v>971</v>
      </c>
      <c r="AB73" s="2">
        <v>2.41</v>
      </c>
      <c r="AC73" s="83" t="s">
        <v>552</v>
      </c>
      <c r="AD73" s="2">
        <v>106.6</v>
      </c>
      <c r="AE73" s="83" t="s">
        <v>552</v>
      </c>
      <c r="AF73" s="83"/>
      <c r="AG73" s="83"/>
    </row>
    <row r="74" spans="1:33" x14ac:dyDescent="0.25">
      <c r="A74" s="2" t="s">
        <v>94</v>
      </c>
      <c r="B74" s="85">
        <v>0.99399999999999999</v>
      </c>
      <c r="E74" s="2">
        <v>2021</v>
      </c>
      <c r="F74" s="2" t="s">
        <v>122</v>
      </c>
      <c r="G74" s="2" t="s">
        <v>123</v>
      </c>
      <c r="H74" s="83">
        <v>0</v>
      </c>
      <c r="T74" s="82" t="s">
        <v>410</v>
      </c>
      <c r="U74" s="2">
        <v>7.9200000000000007E-2</v>
      </c>
      <c r="AA74" s="2" t="s">
        <v>972</v>
      </c>
      <c r="AB74" s="2">
        <v>2.41</v>
      </c>
      <c r="AC74" s="83" t="s">
        <v>552</v>
      </c>
      <c r="AD74" s="2">
        <v>214.4</v>
      </c>
      <c r="AE74" s="83" t="s">
        <v>552</v>
      </c>
      <c r="AF74" s="83"/>
      <c r="AG74" s="83"/>
    </row>
    <row r="75" spans="1:33" x14ac:dyDescent="0.25">
      <c r="A75" s="2" t="s">
        <v>87</v>
      </c>
      <c r="B75" s="85">
        <v>0.99399999999999999</v>
      </c>
      <c r="E75" s="2">
        <v>2020</v>
      </c>
      <c r="F75" s="2" t="s">
        <v>190</v>
      </c>
      <c r="G75" s="2" t="s">
        <v>191</v>
      </c>
      <c r="H75" s="83">
        <v>5.1999999999999998E-2</v>
      </c>
      <c r="K75" s="79" t="s">
        <v>303</v>
      </c>
      <c r="T75" s="82" t="s">
        <v>411</v>
      </c>
      <c r="U75" s="2">
        <v>3.2399999999999998E-2</v>
      </c>
      <c r="AA75" s="2" t="s">
        <v>946</v>
      </c>
      <c r="AB75" s="2">
        <v>2.41</v>
      </c>
      <c r="AC75" s="83" t="s">
        <v>552</v>
      </c>
      <c r="AD75" s="2">
        <v>2.8</v>
      </c>
      <c r="AE75" s="83" t="s">
        <v>552</v>
      </c>
      <c r="AF75" s="83"/>
      <c r="AG75" s="83"/>
    </row>
    <row r="76" spans="1:33" ht="18.75" thickBot="1" x14ac:dyDescent="0.4">
      <c r="A76" s="2" t="s">
        <v>98</v>
      </c>
      <c r="B76" s="85">
        <v>2.66</v>
      </c>
      <c r="E76" s="2">
        <v>2021</v>
      </c>
      <c r="F76" s="2" t="s">
        <v>190</v>
      </c>
      <c r="G76" s="2" t="s">
        <v>191</v>
      </c>
      <c r="H76" s="83">
        <v>4.0000000000000001E-3</v>
      </c>
      <c r="J76" s="2">
        <v>2020</v>
      </c>
      <c r="K76" s="2" t="s">
        <v>270</v>
      </c>
      <c r="L76" s="83">
        <v>0.61014999999999997</v>
      </c>
      <c r="T76" s="82" t="s">
        <v>412</v>
      </c>
      <c r="U76" s="2">
        <v>5.7799999999999997E-2</v>
      </c>
      <c r="W76" s="86" t="s">
        <v>544</v>
      </c>
      <c r="X76" s="86" t="s">
        <v>482</v>
      </c>
      <c r="Y76" s="86" t="s">
        <v>545</v>
      </c>
      <c r="AA76" s="2" t="s">
        <v>947</v>
      </c>
      <c r="AB76" s="2">
        <v>2.41</v>
      </c>
      <c r="AC76" s="83" t="s">
        <v>552</v>
      </c>
      <c r="AD76" s="2">
        <v>2.6</v>
      </c>
      <c r="AE76" s="83" t="s">
        <v>552</v>
      </c>
      <c r="AF76" s="83"/>
      <c r="AG76" s="83"/>
    </row>
    <row r="77" spans="1:33" x14ac:dyDescent="0.25">
      <c r="A77" s="2" t="s">
        <v>96</v>
      </c>
      <c r="B77" s="85">
        <v>1.2330000000000001</v>
      </c>
      <c r="E77" s="2">
        <v>2020</v>
      </c>
      <c r="F77" s="2" t="s">
        <v>116</v>
      </c>
      <c r="G77" s="2" t="s">
        <v>117</v>
      </c>
      <c r="H77" s="83">
        <v>0.115</v>
      </c>
      <c r="J77" s="2">
        <v>2021</v>
      </c>
      <c r="K77" s="2" t="s">
        <v>270</v>
      </c>
      <c r="L77" s="83">
        <v>0.60985999999999996</v>
      </c>
      <c r="T77" s="82" t="s">
        <v>413</v>
      </c>
      <c r="U77" s="2">
        <v>2.7799999999999998E-2</v>
      </c>
      <c r="W77" s="2"/>
      <c r="Y77" s="2"/>
      <c r="AA77" s="2" t="s">
        <v>973</v>
      </c>
      <c r="AB77" s="2">
        <v>2.41</v>
      </c>
      <c r="AC77" s="83" t="s">
        <v>552</v>
      </c>
      <c r="AD77" s="2">
        <v>271.89999999999998</v>
      </c>
      <c r="AE77" s="83" t="s">
        <v>552</v>
      </c>
      <c r="AF77" s="83"/>
      <c r="AG77" s="83"/>
    </row>
    <row r="78" spans="1:33" x14ac:dyDescent="0.25">
      <c r="A78" s="2" t="s">
        <v>91</v>
      </c>
      <c r="B78" s="85">
        <v>1.1140000000000001</v>
      </c>
      <c r="E78" s="2">
        <v>2021</v>
      </c>
      <c r="F78" s="2" t="s">
        <v>116</v>
      </c>
      <c r="G78" s="2" t="s">
        <v>117</v>
      </c>
      <c r="H78" s="83">
        <v>0.11799999999999999</v>
      </c>
      <c r="J78" s="2">
        <v>2022</v>
      </c>
      <c r="K78" s="2" t="s">
        <v>270</v>
      </c>
      <c r="L78" s="83">
        <v>0.60985999999999996</v>
      </c>
      <c r="T78" s="82" t="s">
        <v>414</v>
      </c>
      <c r="U78" s="2">
        <v>5.0700000000000002E-2</v>
      </c>
      <c r="W78" s="2" t="s">
        <v>288</v>
      </c>
      <c r="X78" s="2">
        <v>3.0089999999999999</v>
      </c>
      <c r="Y78" s="2" t="s">
        <v>552</v>
      </c>
      <c r="AA78" s="2" t="s">
        <v>948</v>
      </c>
      <c r="AB78" s="2">
        <v>2.41</v>
      </c>
      <c r="AC78" s="83" t="s">
        <v>552</v>
      </c>
      <c r="AD78" s="2">
        <v>4</v>
      </c>
      <c r="AE78" s="83" t="s">
        <v>552</v>
      </c>
      <c r="AF78" s="83"/>
      <c r="AG78" s="83"/>
    </row>
    <row r="79" spans="1:33" x14ac:dyDescent="0.25">
      <c r="E79" s="2">
        <v>2020</v>
      </c>
      <c r="F79" s="2" t="s">
        <v>228</v>
      </c>
      <c r="G79" s="2" t="s">
        <v>229</v>
      </c>
      <c r="H79" s="83">
        <v>2.4E-2</v>
      </c>
      <c r="J79" s="2">
        <v>2023</v>
      </c>
      <c r="K79" s="2" t="s">
        <v>270</v>
      </c>
      <c r="L79" s="83">
        <v>0.65100000000000002</v>
      </c>
      <c r="T79" s="82"/>
      <c r="W79" s="2" t="s">
        <v>546</v>
      </c>
      <c r="X79" s="2">
        <v>3.0430000000000001</v>
      </c>
      <c r="Y79" s="2">
        <v>2.504</v>
      </c>
      <c r="AA79" s="2" t="s">
        <v>949</v>
      </c>
      <c r="AB79" s="2">
        <v>2.41</v>
      </c>
      <c r="AC79" s="83" t="s">
        <v>552</v>
      </c>
      <c r="AD79" s="2">
        <v>3.7</v>
      </c>
      <c r="AE79" s="83" t="s">
        <v>552</v>
      </c>
      <c r="AF79" s="83"/>
      <c r="AG79" s="83"/>
    </row>
    <row r="80" spans="1:33" x14ac:dyDescent="0.25">
      <c r="A80" s="79" t="s">
        <v>241</v>
      </c>
      <c r="E80" s="2">
        <v>2021</v>
      </c>
      <c r="F80" s="2" t="s">
        <v>228</v>
      </c>
      <c r="G80" s="2" t="s">
        <v>229</v>
      </c>
      <c r="H80" s="83">
        <v>0.04</v>
      </c>
      <c r="J80" s="2">
        <v>2020</v>
      </c>
      <c r="K80" s="2" t="s">
        <v>269</v>
      </c>
      <c r="L80" s="83">
        <v>0.59343999999999997</v>
      </c>
      <c r="T80" s="82" t="s">
        <v>415</v>
      </c>
      <c r="U80" s="2">
        <v>8.8900000000000007E-2</v>
      </c>
      <c r="W80" s="2" t="s">
        <v>291</v>
      </c>
      <c r="X80" s="2">
        <v>3.2429999999999999</v>
      </c>
      <c r="Y80" s="83">
        <v>2.92</v>
      </c>
      <c r="AA80" s="2" t="s">
        <v>976</v>
      </c>
      <c r="AB80" s="85">
        <v>2.5</v>
      </c>
      <c r="AC80" s="85">
        <v>47</v>
      </c>
      <c r="AD80" s="83" t="s">
        <v>552</v>
      </c>
      <c r="AE80" s="83" t="s">
        <v>552</v>
      </c>
      <c r="AF80" s="83"/>
      <c r="AG80" s="83"/>
    </row>
    <row r="81" spans="1:33" x14ac:dyDescent="0.25">
      <c r="E81" s="2">
        <v>2020</v>
      </c>
      <c r="F81" s="2" t="s">
        <v>138</v>
      </c>
      <c r="G81" s="2" t="s">
        <v>139</v>
      </c>
      <c r="H81" s="83">
        <v>0.223</v>
      </c>
      <c r="J81" s="2">
        <v>2021</v>
      </c>
      <c r="K81" s="2" t="s">
        <v>269</v>
      </c>
      <c r="L81" s="83">
        <v>0.61328000000000005</v>
      </c>
      <c r="T81" s="82" t="s">
        <v>416</v>
      </c>
      <c r="U81" s="2">
        <v>0.14460000000000001</v>
      </c>
      <c r="W81" s="2" t="s">
        <v>269</v>
      </c>
      <c r="X81" s="2">
        <v>2.7549999999999999</v>
      </c>
      <c r="Y81" s="2">
        <v>2.036</v>
      </c>
      <c r="AA81" s="2" t="s">
        <v>977</v>
      </c>
      <c r="AB81" s="85">
        <v>2.5</v>
      </c>
      <c r="AC81" s="85">
        <v>65</v>
      </c>
      <c r="AD81" s="83" t="s">
        <v>552</v>
      </c>
      <c r="AE81" s="83" t="s">
        <v>552</v>
      </c>
      <c r="AF81" s="83"/>
      <c r="AG81" s="83"/>
    </row>
    <row r="82" spans="1:33" x14ac:dyDescent="0.25">
      <c r="A82" s="2">
        <v>2020</v>
      </c>
      <c r="B82" s="88">
        <f>0.0333+0.00167</f>
        <v>3.4970000000000001E-2</v>
      </c>
      <c r="E82" s="2">
        <v>2020</v>
      </c>
      <c r="F82" s="2" t="s">
        <v>138</v>
      </c>
      <c r="G82" s="2" t="s">
        <v>170</v>
      </c>
      <c r="H82" s="83">
        <v>5.5E-2</v>
      </c>
      <c r="J82" s="2">
        <v>2022</v>
      </c>
      <c r="K82" s="2" t="s">
        <v>269</v>
      </c>
      <c r="L82" s="83">
        <v>0.61328000000000005</v>
      </c>
      <c r="T82" s="82" t="s">
        <v>417</v>
      </c>
      <c r="U82" s="2">
        <v>5.2200000000000003E-2</v>
      </c>
      <c r="W82" s="2" t="s">
        <v>270</v>
      </c>
      <c r="X82" s="2">
        <v>2.6869999999999998</v>
      </c>
      <c r="Y82" s="2">
        <v>2.157</v>
      </c>
      <c r="AA82" s="2" t="s">
        <v>978</v>
      </c>
      <c r="AB82" s="85">
        <v>2.5</v>
      </c>
      <c r="AC82" s="85">
        <v>98</v>
      </c>
      <c r="AD82" s="83" t="s">
        <v>552</v>
      </c>
      <c r="AE82" s="83" t="s">
        <v>552</v>
      </c>
      <c r="AF82" s="83"/>
      <c r="AG82" s="83"/>
    </row>
    <row r="83" spans="1:33" x14ac:dyDescent="0.25">
      <c r="A83" s="2">
        <v>2021</v>
      </c>
      <c r="B83" s="88">
        <f>0.0324+0.00162</f>
        <v>3.4019999999999995E-2</v>
      </c>
      <c r="E83" s="2">
        <v>2021</v>
      </c>
      <c r="F83" s="2" t="s">
        <v>138</v>
      </c>
      <c r="G83" s="2" t="s">
        <v>139</v>
      </c>
      <c r="H83" s="83">
        <v>0.20599999999999999</v>
      </c>
      <c r="J83" s="2">
        <v>2023</v>
      </c>
      <c r="K83" s="2" t="s">
        <v>269</v>
      </c>
      <c r="L83" s="83">
        <v>0.52800000000000002</v>
      </c>
      <c r="T83" s="82" t="s">
        <v>418</v>
      </c>
      <c r="U83" s="2">
        <v>8.72E-2</v>
      </c>
      <c r="W83" s="2" t="s">
        <v>547</v>
      </c>
      <c r="X83" s="2">
        <v>0</v>
      </c>
      <c r="Y83" s="2" t="s">
        <v>552</v>
      </c>
      <c r="AA83" s="2" t="s">
        <v>979</v>
      </c>
      <c r="AB83" s="85">
        <v>2.5</v>
      </c>
      <c r="AC83" s="85">
        <v>129</v>
      </c>
      <c r="AD83" s="83" t="s">
        <v>552</v>
      </c>
      <c r="AE83" s="83" t="s">
        <v>552</v>
      </c>
      <c r="AF83" s="83"/>
      <c r="AG83" s="83"/>
    </row>
    <row r="84" spans="1:33" x14ac:dyDescent="0.25">
      <c r="A84" s="2">
        <v>2022</v>
      </c>
      <c r="B84" s="88">
        <f>0.0323+0.00161</f>
        <v>3.3910000000000003E-2</v>
      </c>
      <c r="E84" s="2">
        <v>2021</v>
      </c>
      <c r="F84" s="2" t="s">
        <v>138</v>
      </c>
      <c r="G84" s="2" t="s">
        <v>170</v>
      </c>
      <c r="H84" s="83">
        <v>0.115</v>
      </c>
      <c r="J84" s="2">
        <v>2020</v>
      </c>
      <c r="K84" s="2" t="s">
        <v>288</v>
      </c>
      <c r="L84" s="83">
        <v>0.19</v>
      </c>
      <c r="T84" s="82" t="s">
        <v>419</v>
      </c>
      <c r="U84" s="2">
        <v>4.9500000000000002E-2</v>
      </c>
      <c r="W84" s="2"/>
      <c r="Y84" s="2"/>
      <c r="AA84" s="2" t="s">
        <v>980</v>
      </c>
      <c r="AB84" s="85">
        <v>2.5</v>
      </c>
      <c r="AC84" s="85">
        <v>162</v>
      </c>
      <c r="AD84" s="83" t="s">
        <v>552</v>
      </c>
      <c r="AE84" s="83" t="s">
        <v>552</v>
      </c>
      <c r="AF84" s="83"/>
      <c r="AG84" s="83"/>
    </row>
    <row r="85" spans="1:33" x14ac:dyDescent="0.25">
      <c r="E85" s="2">
        <v>2020</v>
      </c>
      <c r="F85" s="2" t="s">
        <v>220</v>
      </c>
      <c r="G85" s="2" t="s">
        <v>221</v>
      </c>
      <c r="H85" s="83">
        <v>2.4E-2</v>
      </c>
      <c r="J85" s="2">
        <v>2021</v>
      </c>
      <c r="K85" s="2" t="s">
        <v>288</v>
      </c>
      <c r="L85" s="83">
        <v>0.184</v>
      </c>
      <c r="T85" s="82" t="s">
        <v>420</v>
      </c>
      <c r="U85" s="2">
        <v>8.3099999999999993E-2</v>
      </c>
      <c r="W85" s="2"/>
      <c r="Y85" s="2"/>
      <c r="AA85" s="2" t="s">
        <v>981</v>
      </c>
      <c r="AB85" s="85">
        <v>2.5</v>
      </c>
      <c r="AC85" s="85">
        <v>245</v>
      </c>
      <c r="AD85" s="83" t="s">
        <v>552</v>
      </c>
      <c r="AE85" s="83" t="s">
        <v>552</v>
      </c>
      <c r="AF85" s="83"/>
      <c r="AG85" s="83"/>
    </row>
    <row r="86" spans="1:33" x14ac:dyDescent="0.25">
      <c r="A86" s="79" t="s">
        <v>558</v>
      </c>
      <c r="E86" s="2">
        <v>2021</v>
      </c>
      <c r="F86" s="2" t="s">
        <v>220</v>
      </c>
      <c r="G86" s="2" t="s">
        <v>221</v>
      </c>
      <c r="H86" s="83">
        <v>1.7999999999999999E-2</v>
      </c>
      <c r="J86" s="2">
        <v>2022</v>
      </c>
      <c r="K86" s="2" t="s">
        <v>288</v>
      </c>
      <c r="L86" s="83">
        <v>0.184</v>
      </c>
      <c r="T86" s="82" t="s">
        <v>421</v>
      </c>
      <c r="U86" s="2">
        <v>4.1700000000000001E-2</v>
      </c>
      <c r="W86" s="2"/>
      <c r="Y86" s="2"/>
      <c r="AA86" s="2" t="s">
        <v>982</v>
      </c>
      <c r="AB86" s="85">
        <v>2.5</v>
      </c>
      <c r="AC86" s="85">
        <v>308</v>
      </c>
      <c r="AD86" s="83" t="s">
        <v>552</v>
      </c>
      <c r="AE86" s="83" t="s">
        <v>552</v>
      </c>
      <c r="AF86" s="83"/>
      <c r="AG86" s="83"/>
    </row>
    <row r="87" spans="1:33" ht="18.75" thickBot="1" x14ac:dyDescent="0.4">
      <c r="A87" s="79"/>
      <c r="E87" s="2">
        <v>2020</v>
      </c>
      <c r="F87" s="2" t="s">
        <v>208</v>
      </c>
      <c r="G87" s="2" t="s">
        <v>209</v>
      </c>
      <c r="H87" s="83">
        <v>2.8000000000000001E-2</v>
      </c>
      <c r="J87" s="2">
        <v>2023</v>
      </c>
      <c r="K87" s="2" t="s">
        <v>288</v>
      </c>
      <c r="L87" s="2">
        <v>0.188</v>
      </c>
      <c r="T87" s="82" t="s">
        <v>422</v>
      </c>
      <c r="U87" s="2">
        <v>7.0800000000000002E-2</v>
      </c>
      <c r="W87" s="86" t="s">
        <v>553</v>
      </c>
      <c r="X87" s="86" t="s">
        <v>482</v>
      </c>
      <c r="Y87" s="86" t="s">
        <v>545</v>
      </c>
      <c r="AA87" s="2" t="s">
        <v>983</v>
      </c>
      <c r="AB87" s="85">
        <v>2.5</v>
      </c>
      <c r="AC87" s="85">
        <v>370</v>
      </c>
      <c r="AD87" s="83" t="s">
        <v>552</v>
      </c>
      <c r="AE87" s="83" t="s">
        <v>552</v>
      </c>
      <c r="AF87" s="83"/>
      <c r="AG87" s="83"/>
    </row>
    <row r="88" spans="1:33" x14ac:dyDescent="0.25">
      <c r="A88" s="80">
        <v>2022</v>
      </c>
      <c r="B88" s="2">
        <v>2.5000000000000001E-2</v>
      </c>
      <c r="E88" s="2">
        <v>2021</v>
      </c>
      <c r="F88" s="2" t="s">
        <v>208</v>
      </c>
      <c r="G88" s="2" t="s">
        <v>209</v>
      </c>
      <c r="H88" s="83">
        <v>4.2000000000000003E-2</v>
      </c>
      <c r="J88" s="2">
        <v>2020</v>
      </c>
      <c r="K88" s="2" t="s">
        <v>290</v>
      </c>
      <c r="L88" s="83">
        <v>0.63300000000000001</v>
      </c>
      <c r="T88" s="82" t="s">
        <v>423</v>
      </c>
      <c r="U88" s="2">
        <v>2.98E-2</v>
      </c>
      <c r="W88" s="2"/>
      <c r="Y88" s="2"/>
      <c r="AA88" s="2" t="s">
        <v>984</v>
      </c>
      <c r="AB88" s="85">
        <v>2.5</v>
      </c>
      <c r="AC88" s="85">
        <v>618</v>
      </c>
      <c r="AD88" s="83" t="s">
        <v>552</v>
      </c>
      <c r="AE88" s="83" t="s">
        <v>552</v>
      </c>
      <c r="AF88" s="83"/>
      <c r="AG88" s="83"/>
    </row>
    <row r="89" spans="1:33" x14ac:dyDescent="0.25">
      <c r="A89" s="80"/>
      <c r="E89" s="2">
        <v>2020</v>
      </c>
      <c r="F89" s="2" t="s">
        <v>175</v>
      </c>
      <c r="G89" s="2" t="s">
        <v>176</v>
      </c>
      <c r="H89" s="83">
        <v>0.155</v>
      </c>
      <c r="J89" s="2">
        <v>2021</v>
      </c>
      <c r="K89" s="2" t="s">
        <v>290</v>
      </c>
      <c r="L89" s="83">
        <v>0.63300000000000001</v>
      </c>
      <c r="T89" s="82" t="s">
        <v>424</v>
      </c>
      <c r="U89" s="2">
        <v>5.2299999999999999E-2</v>
      </c>
      <c r="W89" s="2" t="s">
        <v>288</v>
      </c>
      <c r="X89" s="83">
        <v>0.36114000000000002</v>
      </c>
      <c r="Y89" s="83">
        <v>0.188</v>
      </c>
      <c r="AA89" s="2" t="s">
        <v>1004</v>
      </c>
      <c r="AB89" s="85">
        <v>2.5</v>
      </c>
      <c r="AC89" s="85">
        <v>683</v>
      </c>
      <c r="AD89" s="83" t="s">
        <v>552</v>
      </c>
      <c r="AE89" s="83" t="s">
        <v>552</v>
      </c>
      <c r="AF89" s="83"/>
      <c r="AG89" s="83"/>
    </row>
    <row r="90" spans="1:33" x14ac:dyDescent="0.25">
      <c r="A90" s="79" t="s">
        <v>559</v>
      </c>
      <c r="E90" s="2">
        <v>2020</v>
      </c>
      <c r="F90" s="2" t="s">
        <v>175</v>
      </c>
      <c r="G90" s="2" t="s">
        <v>177</v>
      </c>
      <c r="H90" s="83">
        <v>4.3999999999999997E-2</v>
      </c>
      <c r="J90" s="2">
        <v>2022</v>
      </c>
      <c r="K90" s="2" t="s">
        <v>290</v>
      </c>
      <c r="L90" s="83">
        <v>0.63300000000000001</v>
      </c>
      <c r="T90" s="82" t="s">
        <v>425</v>
      </c>
      <c r="U90" s="2">
        <v>2.5899999999999999E-2</v>
      </c>
      <c r="W90" s="2" t="s">
        <v>546</v>
      </c>
      <c r="X90" s="83">
        <v>0.76119999999999999</v>
      </c>
      <c r="Y90" s="83">
        <v>0.63300000000000001</v>
      </c>
      <c r="AA90" s="2" t="s">
        <v>985</v>
      </c>
      <c r="AB90" s="85">
        <v>2.5</v>
      </c>
      <c r="AC90" s="85">
        <v>25</v>
      </c>
      <c r="AD90" s="83" t="s">
        <v>552</v>
      </c>
      <c r="AE90" s="83" t="s">
        <v>552</v>
      </c>
      <c r="AF90" s="83"/>
      <c r="AG90" s="83"/>
    </row>
    <row r="91" spans="1:33" ht="15.75" thickBot="1" x14ac:dyDescent="0.3">
      <c r="A91" s="79"/>
      <c r="E91" s="2">
        <v>2021</v>
      </c>
      <c r="F91" s="2" t="s">
        <v>175</v>
      </c>
      <c r="G91" s="2" t="s">
        <v>176</v>
      </c>
      <c r="H91" s="83">
        <v>0.128</v>
      </c>
      <c r="J91" s="2">
        <v>2023</v>
      </c>
      <c r="K91" s="2" t="s">
        <v>290</v>
      </c>
      <c r="L91" s="83">
        <v>0.63300000000000001</v>
      </c>
      <c r="T91" s="89" t="s">
        <v>426</v>
      </c>
      <c r="U91" s="2">
        <v>4.6199999999999998E-2</v>
      </c>
      <c r="W91" s="2" t="s">
        <v>291</v>
      </c>
      <c r="X91" s="83">
        <v>0.76600000000000001</v>
      </c>
      <c r="Y91" s="83">
        <v>0.69699999999999995</v>
      </c>
      <c r="AA91" s="2" t="s">
        <v>987</v>
      </c>
      <c r="AB91" s="85">
        <v>2.5</v>
      </c>
      <c r="AC91" s="85">
        <v>42</v>
      </c>
      <c r="AD91" s="83" t="s">
        <v>552</v>
      </c>
      <c r="AE91" s="83" t="s">
        <v>552</v>
      </c>
      <c r="AF91" s="83"/>
      <c r="AG91" s="83"/>
    </row>
    <row r="92" spans="1:33" ht="16.5" thickBot="1" x14ac:dyDescent="0.3">
      <c r="A92" s="2">
        <v>2022</v>
      </c>
      <c r="B92" s="83">
        <v>4.0899999999999999E-2</v>
      </c>
      <c r="E92" s="2">
        <v>2021</v>
      </c>
      <c r="F92" s="2" t="s">
        <v>175</v>
      </c>
      <c r="G92" s="2" t="s">
        <v>177</v>
      </c>
      <c r="H92" s="83">
        <v>1.4999999999999999E-2</v>
      </c>
      <c r="J92" s="2">
        <v>2020</v>
      </c>
      <c r="K92" s="2" t="s">
        <v>291</v>
      </c>
      <c r="L92" s="83">
        <v>0.60299999999999998</v>
      </c>
      <c r="T92" s="90"/>
      <c r="W92" s="2" t="s">
        <v>269</v>
      </c>
      <c r="X92" s="83">
        <v>0.70889999999999997</v>
      </c>
      <c r="Y92" s="83">
        <v>0.52800000000000002</v>
      </c>
      <c r="AA92" s="2" t="s">
        <v>1005</v>
      </c>
      <c r="AB92" s="85">
        <v>2.5</v>
      </c>
      <c r="AC92" s="85">
        <v>93</v>
      </c>
      <c r="AD92" s="83" t="s">
        <v>552</v>
      </c>
      <c r="AE92" s="83" t="s">
        <v>552</v>
      </c>
      <c r="AF92" s="83"/>
      <c r="AG92" s="83"/>
    </row>
    <row r="93" spans="1:33" x14ac:dyDescent="0.25">
      <c r="E93" s="2">
        <v>2020</v>
      </c>
      <c r="F93" s="2" t="s">
        <v>223</v>
      </c>
      <c r="G93" s="2" t="s">
        <v>224</v>
      </c>
      <c r="H93" s="83">
        <v>0.185</v>
      </c>
      <c r="J93" s="2">
        <v>2021</v>
      </c>
      <c r="K93" s="2" t="s">
        <v>291</v>
      </c>
      <c r="L93" s="83">
        <v>0.69699999999999995</v>
      </c>
      <c r="T93" s="82" t="s">
        <v>427</v>
      </c>
      <c r="U93" s="2">
        <v>0.1709</v>
      </c>
      <c r="W93" s="2" t="s">
        <v>270</v>
      </c>
      <c r="X93" s="83">
        <v>0.81081000000000003</v>
      </c>
      <c r="Y93" s="83">
        <v>0.65100000000000002</v>
      </c>
      <c r="AA93" s="2" t="s">
        <v>986</v>
      </c>
      <c r="AB93" s="85">
        <v>2.5</v>
      </c>
      <c r="AC93" s="85">
        <v>41</v>
      </c>
      <c r="AD93" s="83" t="s">
        <v>552</v>
      </c>
      <c r="AE93" s="83" t="s">
        <v>552</v>
      </c>
      <c r="AF93" s="83"/>
      <c r="AG93" s="83"/>
    </row>
    <row r="94" spans="1:33" ht="18" x14ac:dyDescent="0.35">
      <c r="A94" s="79" t="s">
        <v>266</v>
      </c>
      <c r="B94" s="79" t="s">
        <v>525</v>
      </c>
      <c r="E94" s="2">
        <v>2021</v>
      </c>
      <c r="F94" s="2" t="s">
        <v>223</v>
      </c>
      <c r="G94" s="2" t="s">
        <v>224</v>
      </c>
      <c r="H94" s="83">
        <v>6.7000000000000004E-2</v>
      </c>
      <c r="J94" s="2">
        <v>2022</v>
      </c>
      <c r="K94" s="2" t="s">
        <v>291</v>
      </c>
      <c r="L94" s="83">
        <v>0.69699999999999995</v>
      </c>
      <c r="T94" s="82" t="s">
        <v>428</v>
      </c>
      <c r="U94" s="2">
        <v>0.21410000000000001</v>
      </c>
      <c r="W94" s="2" t="s">
        <v>547</v>
      </c>
      <c r="X94" s="83">
        <v>0.01</v>
      </c>
      <c r="Y94" s="83" t="s">
        <v>552</v>
      </c>
      <c r="AA94" s="2" t="s">
        <v>988</v>
      </c>
      <c r="AB94" s="85">
        <v>2.5</v>
      </c>
      <c r="AC94" s="85">
        <v>63</v>
      </c>
      <c r="AD94" s="83" t="s">
        <v>552</v>
      </c>
      <c r="AE94" s="83" t="s">
        <v>552</v>
      </c>
      <c r="AF94" s="83"/>
      <c r="AG94" s="83"/>
    </row>
    <row r="95" spans="1:33" x14ac:dyDescent="0.25">
      <c r="A95" s="79"/>
      <c r="B95" s="79"/>
      <c r="E95" s="2">
        <v>2020</v>
      </c>
      <c r="F95" s="2" t="s">
        <v>230</v>
      </c>
      <c r="G95" s="2" t="s">
        <v>231</v>
      </c>
      <c r="H95" s="83">
        <v>0.25900000000000001</v>
      </c>
      <c r="J95" s="2">
        <v>2023</v>
      </c>
      <c r="K95" s="2" t="s">
        <v>291</v>
      </c>
      <c r="L95" s="83">
        <v>0.69699999999999995</v>
      </c>
      <c r="T95" s="82" t="s">
        <v>429</v>
      </c>
      <c r="U95" s="2">
        <v>0.25359999999999999</v>
      </c>
      <c r="AA95" s="2" t="s">
        <v>989</v>
      </c>
      <c r="AB95" s="85">
        <v>2.5</v>
      </c>
      <c r="AC95" s="85">
        <v>60</v>
      </c>
      <c r="AD95" s="83" t="s">
        <v>552</v>
      </c>
      <c r="AE95" s="83" t="s">
        <v>552</v>
      </c>
      <c r="AF95" s="83"/>
      <c r="AG95" s="83"/>
    </row>
    <row r="96" spans="1:33" x14ac:dyDescent="0.25">
      <c r="A96" s="2" t="s">
        <v>269</v>
      </c>
      <c r="B96" s="2">
        <v>3600</v>
      </c>
      <c r="E96" s="2">
        <v>2021</v>
      </c>
      <c r="F96" s="2" t="s">
        <v>230</v>
      </c>
      <c r="G96" s="2" t="s">
        <v>231</v>
      </c>
      <c r="H96" s="83">
        <v>0.255</v>
      </c>
      <c r="T96" s="82" t="s">
        <v>430</v>
      </c>
      <c r="U96" s="2">
        <v>0.26960000000000001</v>
      </c>
      <c r="AA96" s="2" t="s">
        <v>991</v>
      </c>
      <c r="AB96" s="85">
        <v>2.5</v>
      </c>
      <c r="AC96" s="85">
        <v>83</v>
      </c>
      <c r="AD96" s="83" t="s">
        <v>552</v>
      </c>
      <c r="AE96" s="83" t="s">
        <v>552</v>
      </c>
      <c r="AF96" s="83"/>
      <c r="AG96" s="83"/>
    </row>
    <row r="97" spans="1:33" x14ac:dyDescent="0.25">
      <c r="A97" s="2" t="s">
        <v>270</v>
      </c>
      <c r="B97" s="2">
        <v>3600</v>
      </c>
      <c r="E97" s="2">
        <v>2020</v>
      </c>
      <c r="F97" s="2" t="s">
        <v>192</v>
      </c>
      <c r="G97" s="2" t="s">
        <v>193</v>
      </c>
      <c r="H97" s="83">
        <v>0.216</v>
      </c>
      <c r="T97" s="82" t="s">
        <v>431</v>
      </c>
      <c r="U97" s="2">
        <v>0.34420000000000001</v>
      </c>
      <c r="AA97" s="2" t="s">
        <v>990</v>
      </c>
      <c r="AB97" s="85">
        <v>2.5</v>
      </c>
      <c r="AC97" s="85">
        <v>83</v>
      </c>
      <c r="AD97" s="83" t="s">
        <v>552</v>
      </c>
      <c r="AE97" s="83" t="s">
        <v>552</v>
      </c>
      <c r="AF97" s="83"/>
      <c r="AG97" s="83"/>
    </row>
    <row r="98" spans="1:33" x14ac:dyDescent="0.25">
      <c r="A98" s="2" t="s">
        <v>271</v>
      </c>
      <c r="B98" s="2">
        <v>3600</v>
      </c>
      <c r="E98" s="2">
        <v>2020</v>
      </c>
      <c r="F98" s="2" t="s">
        <v>192</v>
      </c>
      <c r="G98" s="2" t="s">
        <v>194</v>
      </c>
      <c r="H98" s="83">
        <v>0.16300000000000001</v>
      </c>
      <c r="T98" s="82" t="s">
        <v>432</v>
      </c>
      <c r="U98" s="2">
        <v>0.42699999999999999</v>
      </c>
      <c r="AA98" s="2" t="s">
        <v>993</v>
      </c>
      <c r="AB98" s="85">
        <v>2.5</v>
      </c>
      <c r="AC98" s="85">
        <v>104</v>
      </c>
      <c r="AD98" s="83" t="s">
        <v>552</v>
      </c>
      <c r="AE98" s="83" t="s">
        <v>552</v>
      </c>
      <c r="AF98" s="83"/>
      <c r="AG98" s="83"/>
    </row>
    <row r="99" spans="1:33" ht="18.75" x14ac:dyDescent="0.35">
      <c r="A99" s="2" t="s">
        <v>272</v>
      </c>
      <c r="B99" s="2">
        <v>3600</v>
      </c>
      <c r="E99" s="2">
        <v>2020</v>
      </c>
      <c r="F99" s="2" t="s">
        <v>192</v>
      </c>
      <c r="G99" s="2" t="s">
        <v>195</v>
      </c>
      <c r="H99" s="83">
        <v>0.112</v>
      </c>
      <c r="J99" s="79" t="s">
        <v>560</v>
      </c>
      <c r="K99" s="79" t="s">
        <v>561</v>
      </c>
      <c r="L99" s="79" t="s">
        <v>562</v>
      </c>
      <c r="M99" s="79" t="s">
        <v>563</v>
      </c>
      <c r="N99" s="79" t="s">
        <v>564</v>
      </c>
      <c r="T99" s="82" t="s">
        <v>433</v>
      </c>
      <c r="U99" s="2">
        <v>0.51480000000000004</v>
      </c>
      <c r="AA99" s="2" t="s">
        <v>992</v>
      </c>
      <c r="AB99" s="85">
        <v>2.5</v>
      </c>
      <c r="AC99" s="85">
        <v>110</v>
      </c>
      <c r="AD99" s="83" t="s">
        <v>552</v>
      </c>
      <c r="AE99" s="83" t="s">
        <v>552</v>
      </c>
      <c r="AF99" s="83"/>
      <c r="AG99" s="83"/>
    </row>
    <row r="100" spans="1:33" x14ac:dyDescent="0.25">
      <c r="A100" s="2" t="s">
        <v>0</v>
      </c>
      <c r="B100" s="87">
        <f>4800+2200</f>
        <v>7000</v>
      </c>
      <c r="E100" s="2">
        <v>2021</v>
      </c>
      <c r="F100" s="2" t="s">
        <v>192</v>
      </c>
      <c r="G100" s="2" t="s">
        <v>193</v>
      </c>
      <c r="H100" s="83">
        <v>0.25700000000000001</v>
      </c>
      <c r="J100" s="79" t="s">
        <v>565</v>
      </c>
      <c r="K100" s="79"/>
      <c r="L100" s="79"/>
      <c r="M100" s="79"/>
      <c r="N100" s="79"/>
      <c r="T100" s="82" t="s">
        <v>434</v>
      </c>
      <c r="U100" s="2">
        <v>0.77339999999999998</v>
      </c>
      <c r="AA100" s="2" t="s">
        <v>995</v>
      </c>
      <c r="AB100" s="85">
        <v>2.5</v>
      </c>
      <c r="AC100" s="85">
        <v>123</v>
      </c>
      <c r="AD100" s="83" t="s">
        <v>552</v>
      </c>
      <c r="AE100" s="83" t="s">
        <v>552</v>
      </c>
      <c r="AF100" s="83"/>
      <c r="AG100" s="83"/>
    </row>
    <row r="101" spans="1:33" x14ac:dyDescent="0.25">
      <c r="A101" s="2" t="s">
        <v>526</v>
      </c>
      <c r="B101" s="2">
        <f>B96*1.15</f>
        <v>4140</v>
      </c>
      <c r="E101" s="2">
        <v>2021</v>
      </c>
      <c r="F101" s="2" t="s">
        <v>192</v>
      </c>
      <c r="G101" s="2" t="s">
        <v>194</v>
      </c>
      <c r="H101" s="83">
        <v>9.4E-2</v>
      </c>
      <c r="J101" s="79"/>
      <c r="K101" s="79"/>
      <c r="L101" s="79"/>
      <c r="M101" s="79"/>
      <c r="N101" s="79"/>
      <c r="T101" s="82" t="s">
        <v>435</v>
      </c>
      <c r="U101" s="2">
        <v>0.58140000000000003</v>
      </c>
      <c r="W101" s="97"/>
      <c r="AA101" s="2" t="s">
        <v>994</v>
      </c>
      <c r="AB101" s="85">
        <v>2.5</v>
      </c>
      <c r="AC101" s="85">
        <v>121</v>
      </c>
      <c r="AD101" s="83" t="s">
        <v>552</v>
      </c>
      <c r="AE101" s="83" t="s">
        <v>552</v>
      </c>
      <c r="AF101" s="83"/>
      <c r="AG101" s="83"/>
    </row>
    <row r="102" spans="1:33" x14ac:dyDescent="0.25">
      <c r="A102" s="2" t="s">
        <v>527</v>
      </c>
      <c r="B102" s="2">
        <f>B97*1.15</f>
        <v>4140</v>
      </c>
      <c r="E102" s="2">
        <v>2021</v>
      </c>
      <c r="F102" s="2" t="s">
        <v>192</v>
      </c>
      <c r="G102" s="2" t="s">
        <v>195</v>
      </c>
      <c r="H102" s="83">
        <v>8.5999999999999993E-2</v>
      </c>
      <c r="J102" s="2" t="s">
        <v>568</v>
      </c>
      <c r="K102" s="83">
        <v>1.21</v>
      </c>
      <c r="L102" s="83" t="s">
        <v>552</v>
      </c>
      <c r="M102" s="83" t="s">
        <v>552</v>
      </c>
      <c r="N102" s="83" t="s">
        <v>552</v>
      </c>
      <c r="T102" s="82" t="s">
        <v>436</v>
      </c>
      <c r="U102" s="2">
        <v>0.89049999999999996</v>
      </c>
      <c r="AA102" s="2" t="s">
        <v>996</v>
      </c>
      <c r="AB102" s="85">
        <v>2.5</v>
      </c>
      <c r="AC102" s="85">
        <v>136</v>
      </c>
      <c r="AD102" s="83" t="s">
        <v>552</v>
      </c>
      <c r="AE102" s="83" t="s">
        <v>552</v>
      </c>
      <c r="AF102" s="83"/>
      <c r="AG102" s="83"/>
    </row>
    <row r="103" spans="1:33" x14ac:dyDescent="0.25">
      <c r="A103" s="2" t="s">
        <v>528</v>
      </c>
      <c r="B103" s="2">
        <f>B98*1.2</f>
        <v>4320</v>
      </c>
      <c r="E103" s="2">
        <v>2020</v>
      </c>
      <c r="F103" s="2" t="s">
        <v>132</v>
      </c>
      <c r="G103" s="2" t="s">
        <v>133</v>
      </c>
      <c r="H103" s="83">
        <v>0.113</v>
      </c>
      <c r="J103" s="2" t="s">
        <v>566</v>
      </c>
      <c r="K103" s="83">
        <v>1.18</v>
      </c>
      <c r="L103" s="83" t="s">
        <v>552</v>
      </c>
      <c r="M103" s="83" t="s">
        <v>552</v>
      </c>
      <c r="N103" s="83" t="s">
        <v>552</v>
      </c>
      <c r="T103" s="82" t="s">
        <v>437</v>
      </c>
      <c r="U103" s="2">
        <v>0.73470000000000002</v>
      </c>
      <c r="AA103" s="2" t="s">
        <v>997</v>
      </c>
      <c r="AB103" s="85">
        <v>2.5</v>
      </c>
      <c r="AC103" s="85">
        <v>156</v>
      </c>
      <c r="AD103" s="83" t="s">
        <v>552</v>
      </c>
      <c r="AE103" s="83" t="s">
        <v>552</v>
      </c>
      <c r="AF103" s="83"/>
      <c r="AG103" s="83"/>
    </row>
    <row r="104" spans="1:33" x14ac:dyDescent="0.25">
      <c r="A104" s="2" t="s">
        <v>529</v>
      </c>
      <c r="B104" s="2">
        <f>B99*1.2</f>
        <v>4320</v>
      </c>
      <c r="E104" s="2">
        <v>2021</v>
      </c>
      <c r="F104" s="2" t="s">
        <v>132</v>
      </c>
      <c r="G104" s="2" t="s">
        <v>133</v>
      </c>
      <c r="H104" s="83">
        <v>1.7999999999999999E-2</v>
      </c>
      <c r="J104" s="2" t="s">
        <v>567</v>
      </c>
      <c r="K104" s="83">
        <v>1.1200000000000001</v>
      </c>
      <c r="L104" s="83" t="s">
        <v>552</v>
      </c>
      <c r="M104" s="83" t="s">
        <v>552</v>
      </c>
      <c r="N104" s="83" t="s">
        <v>552</v>
      </c>
      <c r="T104" s="82" t="s">
        <v>438</v>
      </c>
      <c r="U104" s="2">
        <v>1.1382000000000001</v>
      </c>
      <c r="AA104" s="2" t="s">
        <v>998</v>
      </c>
      <c r="AB104" s="85">
        <v>2.5</v>
      </c>
      <c r="AC104" s="85">
        <v>175</v>
      </c>
      <c r="AD104" s="83" t="s">
        <v>552</v>
      </c>
      <c r="AE104" s="83" t="s">
        <v>552</v>
      </c>
      <c r="AF104" s="83"/>
      <c r="AG104" s="83"/>
    </row>
    <row r="105" spans="1:33" x14ac:dyDescent="0.25">
      <c r="E105" s="2">
        <v>2020</v>
      </c>
      <c r="F105" s="2" t="s">
        <v>210</v>
      </c>
      <c r="G105" s="2" t="s">
        <v>211</v>
      </c>
      <c r="H105" s="83">
        <v>2.8000000000000001E-2</v>
      </c>
      <c r="J105" s="2" t="s">
        <v>571</v>
      </c>
      <c r="K105" s="83">
        <v>0.4</v>
      </c>
      <c r="L105" s="83" t="s">
        <v>552</v>
      </c>
      <c r="M105" s="83" t="s">
        <v>552</v>
      </c>
      <c r="N105" s="83" t="s">
        <v>552</v>
      </c>
      <c r="T105" s="82" t="s">
        <v>439</v>
      </c>
      <c r="U105" s="2">
        <v>0.80389999999999995</v>
      </c>
      <c r="AA105" s="2" t="s">
        <v>999</v>
      </c>
      <c r="AB105" s="85">
        <v>2.5</v>
      </c>
      <c r="AC105" s="85">
        <v>195</v>
      </c>
      <c r="AD105" s="83" t="s">
        <v>552</v>
      </c>
      <c r="AE105" s="83" t="s">
        <v>552</v>
      </c>
      <c r="AF105" s="83"/>
      <c r="AG105" s="83"/>
    </row>
    <row r="106" spans="1:33" x14ac:dyDescent="0.25">
      <c r="E106" s="2">
        <v>2021</v>
      </c>
      <c r="F106" s="2" t="s">
        <v>210</v>
      </c>
      <c r="G106" s="2" t="s">
        <v>211</v>
      </c>
      <c r="H106" s="83">
        <v>3.5999999999999997E-2</v>
      </c>
      <c r="J106" s="2" t="s">
        <v>569</v>
      </c>
      <c r="K106" s="83">
        <v>0.68</v>
      </c>
      <c r="L106" s="83" t="s">
        <v>552</v>
      </c>
      <c r="M106" s="83" t="s">
        <v>552</v>
      </c>
      <c r="N106" s="83" t="s">
        <v>552</v>
      </c>
      <c r="T106" s="82" t="s">
        <v>440</v>
      </c>
      <c r="U106" s="2">
        <v>1.2553000000000001</v>
      </c>
      <c r="AA106" s="2" t="s">
        <v>1000</v>
      </c>
      <c r="AB106" s="85">
        <v>2.5</v>
      </c>
      <c r="AC106" s="85">
        <v>298</v>
      </c>
      <c r="AD106" s="83" t="s">
        <v>552</v>
      </c>
      <c r="AE106" s="83" t="s">
        <v>552</v>
      </c>
      <c r="AF106" s="83"/>
      <c r="AG106" s="83"/>
    </row>
    <row r="107" spans="1:33" ht="18" x14ac:dyDescent="0.35">
      <c r="A107" s="79" t="s">
        <v>268</v>
      </c>
      <c r="B107" s="79" t="s">
        <v>525</v>
      </c>
      <c r="E107" s="2">
        <v>2020</v>
      </c>
      <c r="F107" s="2" t="s">
        <v>146</v>
      </c>
      <c r="G107" s="2" t="s">
        <v>147</v>
      </c>
      <c r="H107" s="83">
        <v>0.14099999999999999</v>
      </c>
      <c r="J107" s="2" t="s">
        <v>573</v>
      </c>
      <c r="K107" s="83">
        <v>0.56000000000000005</v>
      </c>
      <c r="L107" s="83" t="s">
        <v>552</v>
      </c>
      <c r="M107" s="83" t="s">
        <v>552</v>
      </c>
      <c r="N107" s="83" t="s">
        <v>552</v>
      </c>
      <c r="AA107" s="2" t="s">
        <v>1001</v>
      </c>
      <c r="AB107" s="85">
        <v>2.5</v>
      </c>
      <c r="AC107" s="85">
        <v>380</v>
      </c>
      <c r="AD107" s="83" t="s">
        <v>552</v>
      </c>
      <c r="AE107" s="83" t="s">
        <v>552</v>
      </c>
      <c r="AF107" s="83"/>
      <c r="AG107" s="83"/>
    </row>
    <row r="108" spans="1:33" x14ac:dyDescent="0.25">
      <c r="A108" s="79"/>
      <c r="B108" s="79"/>
      <c r="E108" s="2">
        <v>2021</v>
      </c>
      <c r="F108" s="2" t="s">
        <v>146</v>
      </c>
      <c r="G108" s="2" t="s">
        <v>147</v>
      </c>
      <c r="H108" s="83">
        <v>0.105</v>
      </c>
      <c r="J108" s="2" t="s">
        <v>570</v>
      </c>
      <c r="K108" s="83">
        <v>0.53</v>
      </c>
      <c r="L108" s="83" t="s">
        <v>552</v>
      </c>
      <c r="M108" s="83" t="s">
        <v>552</v>
      </c>
      <c r="N108" s="83" t="s">
        <v>552</v>
      </c>
      <c r="AA108" s="2" t="s">
        <v>1002</v>
      </c>
      <c r="AB108" s="85">
        <v>2.5</v>
      </c>
      <c r="AC108" s="85">
        <v>438</v>
      </c>
      <c r="AD108" s="83" t="s">
        <v>552</v>
      </c>
      <c r="AE108" s="83" t="s">
        <v>552</v>
      </c>
      <c r="AF108" s="83"/>
      <c r="AG108" s="83"/>
    </row>
    <row r="109" spans="1:33" x14ac:dyDescent="0.25">
      <c r="A109" s="2" t="s">
        <v>269</v>
      </c>
      <c r="B109" s="2">
        <v>5360</v>
      </c>
      <c r="E109" s="2">
        <v>2020</v>
      </c>
      <c r="F109" s="2" t="s">
        <v>128</v>
      </c>
      <c r="G109" s="2" t="s">
        <v>129</v>
      </c>
      <c r="H109" s="83">
        <v>9.1999999999999998E-2</v>
      </c>
      <c r="J109" s="2" t="s">
        <v>572</v>
      </c>
      <c r="K109" s="83">
        <v>0.65</v>
      </c>
      <c r="L109" s="83" t="s">
        <v>552</v>
      </c>
      <c r="M109" s="83" t="s">
        <v>552</v>
      </c>
      <c r="N109" s="83" t="s">
        <v>552</v>
      </c>
      <c r="T109" s="79" t="s">
        <v>735</v>
      </c>
      <c r="V109" s="2"/>
      <c r="W109" s="2"/>
      <c r="AA109" s="2" t="s">
        <v>1003</v>
      </c>
      <c r="AB109" s="85">
        <v>2.5</v>
      </c>
      <c r="AC109" s="85">
        <v>558</v>
      </c>
      <c r="AD109" s="83" t="s">
        <v>552</v>
      </c>
      <c r="AE109" s="83" t="s">
        <v>552</v>
      </c>
      <c r="AF109" s="83"/>
      <c r="AG109" s="83"/>
    </row>
    <row r="110" spans="1:33" x14ac:dyDescent="0.25">
      <c r="A110" s="2" t="s">
        <v>270</v>
      </c>
      <c r="B110" s="2">
        <v>5360</v>
      </c>
      <c r="E110" s="2">
        <v>2021</v>
      </c>
      <c r="F110" s="2" t="s">
        <v>128</v>
      </c>
      <c r="G110" s="2" t="s">
        <v>129</v>
      </c>
      <c r="H110" s="83">
        <v>0.108</v>
      </c>
      <c r="J110" s="2" t="s">
        <v>576</v>
      </c>
      <c r="K110" s="83">
        <v>2.9</v>
      </c>
      <c r="L110" s="83" t="s">
        <v>552</v>
      </c>
      <c r="M110" s="83" t="s">
        <v>552</v>
      </c>
      <c r="N110" s="83" t="s">
        <v>552</v>
      </c>
      <c r="T110" s="79"/>
      <c r="V110" s="2"/>
      <c r="W110" s="2"/>
      <c r="AA110" s="2" t="s">
        <v>1006</v>
      </c>
      <c r="AB110" s="2">
        <v>1.56</v>
      </c>
      <c r="AC110" s="2">
        <v>24.6</v>
      </c>
      <c r="AD110" s="83" t="s">
        <v>552</v>
      </c>
      <c r="AE110" s="83" t="s">
        <v>552</v>
      </c>
      <c r="AF110" s="83"/>
      <c r="AG110" s="83"/>
    </row>
    <row r="111" spans="1:33" x14ac:dyDescent="0.25">
      <c r="A111" s="2" t="s">
        <v>271</v>
      </c>
      <c r="B111" s="2">
        <v>5360</v>
      </c>
      <c r="E111" s="2">
        <v>2022</v>
      </c>
      <c r="F111" s="2" t="s">
        <v>128</v>
      </c>
      <c r="G111" s="2" t="s">
        <v>129</v>
      </c>
      <c r="H111" s="83">
        <v>9.2999999999999999E-2</v>
      </c>
      <c r="J111" s="2" t="s">
        <v>583</v>
      </c>
      <c r="K111" s="83">
        <v>3.71</v>
      </c>
      <c r="L111" s="83" t="s">
        <v>552</v>
      </c>
      <c r="M111" s="83" t="s">
        <v>552</v>
      </c>
      <c r="N111" s="83" t="s">
        <v>552</v>
      </c>
      <c r="T111" s="2" t="s">
        <v>739</v>
      </c>
      <c r="U111" s="85">
        <v>12</v>
      </c>
      <c r="V111" s="83" t="s">
        <v>552</v>
      </c>
      <c r="W111" s="83" t="s">
        <v>552</v>
      </c>
      <c r="X111" s="83" t="s">
        <v>552</v>
      </c>
      <c r="Y111" s="83" t="s">
        <v>552</v>
      </c>
      <c r="AA111" s="2" t="s">
        <v>1007</v>
      </c>
      <c r="AB111" s="2">
        <v>1.6659999999999999</v>
      </c>
      <c r="AC111" s="2">
        <v>556.5</v>
      </c>
      <c r="AD111" s="83" t="s">
        <v>552</v>
      </c>
      <c r="AE111" s="83" t="s">
        <v>552</v>
      </c>
      <c r="AF111" s="83"/>
      <c r="AG111" s="83"/>
    </row>
    <row r="112" spans="1:33" x14ac:dyDescent="0.25">
      <c r="A112" s="2" t="s">
        <v>272</v>
      </c>
      <c r="B112" s="2">
        <v>5360</v>
      </c>
      <c r="E112" s="2">
        <v>2020</v>
      </c>
      <c r="F112" s="2" t="s">
        <v>163</v>
      </c>
      <c r="G112" s="2" t="s">
        <v>164</v>
      </c>
      <c r="H112" s="83">
        <v>7.6999999999999999E-2</v>
      </c>
      <c r="J112" s="2" t="s">
        <v>584</v>
      </c>
      <c r="K112" s="83">
        <v>2.2999999999999998</v>
      </c>
      <c r="L112" s="83" t="s">
        <v>552</v>
      </c>
      <c r="M112" s="83" t="s">
        <v>552</v>
      </c>
      <c r="N112" s="83" t="s">
        <v>552</v>
      </c>
      <c r="T112" s="2" t="s">
        <v>743</v>
      </c>
      <c r="U112" s="85">
        <v>10</v>
      </c>
      <c r="V112" s="83" t="s">
        <v>552</v>
      </c>
      <c r="W112" s="83" t="s">
        <v>552</v>
      </c>
      <c r="X112" s="83" t="s">
        <v>552</v>
      </c>
      <c r="Y112" s="83" t="s">
        <v>552</v>
      </c>
      <c r="AA112" s="2" t="s">
        <v>1008</v>
      </c>
      <c r="AB112" s="2">
        <v>1.5629999999999999</v>
      </c>
      <c r="AC112" s="2">
        <v>30.5</v>
      </c>
      <c r="AD112" s="83" t="s">
        <v>552</v>
      </c>
      <c r="AE112" s="83" t="s">
        <v>552</v>
      </c>
      <c r="AF112" s="83"/>
      <c r="AG112" s="83"/>
    </row>
    <row r="113" spans="1:33" x14ac:dyDescent="0.25">
      <c r="A113" s="2" t="s">
        <v>0</v>
      </c>
      <c r="B113" s="87">
        <f>6500+3200</f>
        <v>9700</v>
      </c>
      <c r="E113" s="2">
        <v>2021</v>
      </c>
      <c r="F113" s="2" t="s">
        <v>163</v>
      </c>
      <c r="G113" s="2" t="s">
        <v>164</v>
      </c>
      <c r="H113" s="83">
        <v>0.22700000000000001</v>
      </c>
      <c r="J113" s="2" t="s">
        <v>585</v>
      </c>
      <c r="K113" s="83">
        <v>2.37</v>
      </c>
      <c r="L113" s="83" t="s">
        <v>552</v>
      </c>
      <c r="M113" s="83" t="s">
        <v>552</v>
      </c>
      <c r="N113" s="83" t="s">
        <v>552</v>
      </c>
      <c r="T113" s="2" t="s">
        <v>742</v>
      </c>
      <c r="U113" s="85">
        <v>6</v>
      </c>
      <c r="V113" s="83" t="s">
        <v>552</v>
      </c>
      <c r="W113" s="83" t="s">
        <v>552</v>
      </c>
      <c r="X113" s="83" t="s">
        <v>552</v>
      </c>
      <c r="Y113" s="83" t="s">
        <v>552</v>
      </c>
      <c r="AA113" s="2" t="s">
        <v>1009</v>
      </c>
      <c r="AB113" s="2">
        <v>1.5680000000000001</v>
      </c>
      <c r="AC113" s="2">
        <v>37.5</v>
      </c>
      <c r="AD113" s="83" t="s">
        <v>552</v>
      </c>
      <c r="AE113" s="83" t="s">
        <v>552</v>
      </c>
      <c r="AF113" s="83"/>
      <c r="AG113" s="83"/>
    </row>
    <row r="114" spans="1:33" x14ac:dyDescent="0.25">
      <c r="A114" s="2" t="s">
        <v>526</v>
      </c>
      <c r="B114" s="2">
        <f>B109*1.15</f>
        <v>6163.9999999999991</v>
      </c>
      <c r="E114" s="2">
        <v>2020</v>
      </c>
      <c r="F114" s="2" t="s">
        <v>156</v>
      </c>
      <c r="G114" s="2" t="s">
        <v>157</v>
      </c>
      <c r="H114" s="83">
        <v>0.14499999999999999</v>
      </c>
      <c r="J114" s="2" t="s">
        <v>586</v>
      </c>
      <c r="K114" s="83">
        <v>2.0499999999999998</v>
      </c>
      <c r="L114" s="83" t="s">
        <v>552</v>
      </c>
      <c r="M114" s="83" t="s">
        <v>552</v>
      </c>
      <c r="N114" s="83" t="s">
        <v>552</v>
      </c>
      <c r="T114" s="2" t="s">
        <v>740</v>
      </c>
      <c r="U114" s="2">
        <v>1.7</v>
      </c>
      <c r="V114" s="83" t="s">
        <v>552</v>
      </c>
      <c r="W114" s="83" t="s">
        <v>552</v>
      </c>
      <c r="X114" s="83" t="s">
        <v>552</v>
      </c>
      <c r="Y114" s="83" t="s">
        <v>552</v>
      </c>
      <c r="AA114" s="2" t="s">
        <v>1010</v>
      </c>
      <c r="AB114" s="2">
        <v>1.579</v>
      </c>
      <c r="AC114" s="2">
        <v>52.9</v>
      </c>
      <c r="AD114" s="83" t="s">
        <v>552</v>
      </c>
      <c r="AE114" s="83" t="s">
        <v>552</v>
      </c>
      <c r="AF114" s="83"/>
      <c r="AG114" s="83"/>
    </row>
    <row r="115" spans="1:33" x14ac:dyDescent="0.25">
      <c r="A115" s="2" t="s">
        <v>527</v>
      </c>
      <c r="B115" s="2">
        <f>B110*1.15</f>
        <v>6163.9999999999991</v>
      </c>
      <c r="E115" s="2">
        <v>2020</v>
      </c>
      <c r="F115" s="2" t="s">
        <v>156</v>
      </c>
      <c r="G115" s="2" t="s">
        <v>117</v>
      </c>
      <c r="H115" s="83">
        <v>3.7999999999999999E-2</v>
      </c>
      <c r="J115" s="2" t="s">
        <v>592</v>
      </c>
      <c r="K115" s="83">
        <v>2.2000000000000002</v>
      </c>
      <c r="L115" s="83" t="s">
        <v>552</v>
      </c>
      <c r="M115" s="83" t="s">
        <v>552</v>
      </c>
      <c r="N115" s="83" t="s">
        <v>552</v>
      </c>
      <c r="T115" s="2" t="s">
        <v>741</v>
      </c>
      <c r="U115" s="2">
        <v>2.6</v>
      </c>
      <c r="V115" s="83" t="s">
        <v>552</v>
      </c>
      <c r="W115" s="83" t="s">
        <v>552</v>
      </c>
      <c r="X115" s="83" t="s">
        <v>552</v>
      </c>
      <c r="Y115" s="83" t="s">
        <v>552</v>
      </c>
      <c r="AA115" s="2" t="s">
        <v>1011</v>
      </c>
      <c r="AB115" s="2">
        <v>1.5880000000000001</v>
      </c>
      <c r="AC115" s="2">
        <v>69.7</v>
      </c>
      <c r="AD115" s="83" t="s">
        <v>552</v>
      </c>
      <c r="AE115" s="83" t="s">
        <v>552</v>
      </c>
      <c r="AF115" s="83"/>
      <c r="AG115" s="83"/>
    </row>
    <row r="116" spans="1:33" x14ac:dyDescent="0.25">
      <c r="A116" s="2" t="s">
        <v>528</v>
      </c>
      <c r="B116" s="2">
        <f>B111*1.2</f>
        <v>6432</v>
      </c>
      <c r="E116" s="2">
        <v>2021</v>
      </c>
      <c r="F116" s="2" t="s">
        <v>156</v>
      </c>
      <c r="G116" s="2" t="s">
        <v>157</v>
      </c>
      <c r="H116" s="83">
        <v>0.13</v>
      </c>
      <c r="J116" s="2" t="s">
        <v>577</v>
      </c>
      <c r="K116" s="83">
        <v>0.33</v>
      </c>
      <c r="L116" s="83" t="s">
        <v>552</v>
      </c>
      <c r="M116" s="83" t="s">
        <v>552</v>
      </c>
      <c r="N116" s="83" t="s">
        <v>552</v>
      </c>
      <c r="T116" s="2" t="s">
        <v>746</v>
      </c>
      <c r="U116" s="83">
        <v>4.2</v>
      </c>
      <c r="V116" s="83" t="s">
        <v>552</v>
      </c>
      <c r="W116" s="83" t="s">
        <v>552</v>
      </c>
      <c r="X116" s="83" t="s">
        <v>552</v>
      </c>
      <c r="Y116" s="83" t="s">
        <v>552</v>
      </c>
      <c r="AA116" s="2" t="s">
        <v>1012</v>
      </c>
      <c r="AB116" s="2">
        <v>1.597</v>
      </c>
      <c r="AC116" s="2">
        <v>88.7</v>
      </c>
      <c r="AD116" s="83" t="s">
        <v>552</v>
      </c>
      <c r="AE116" s="83" t="s">
        <v>552</v>
      </c>
      <c r="AF116" s="83"/>
      <c r="AG116" s="83"/>
    </row>
    <row r="117" spans="1:33" x14ac:dyDescent="0.25">
      <c r="A117" s="2" t="s">
        <v>529</v>
      </c>
      <c r="B117" s="2">
        <f>B112*1.2</f>
        <v>6432</v>
      </c>
      <c r="E117" s="2">
        <v>2021</v>
      </c>
      <c r="F117" s="2" t="s">
        <v>156</v>
      </c>
      <c r="G117" s="2" t="s">
        <v>117</v>
      </c>
      <c r="H117" s="83">
        <v>3.4000000000000002E-2</v>
      </c>
      <c r="J117" s="2" t="s">
        <v>591</v>
      </c>
      <c r="K117" s="83">
        <v>1.21</v>
      </c>
      <c r="L117" s="83" t="s">
        <v>552</v>
      </c>
      <c r="M117" s="83" t="s">
        <v>552</v>
      </c>
      <c r="N117" s="83" t="s">
        <v>552</v>
      </c>
      <c r="T117" s="2" t="s">
        <v>744</v>
      </c>
      <c r="U117" s="83">
        <v>0.5</v>
      </c>
      <c r="V117" s="83" t="s">
        <v>552</v>
      </c>
      <c r="W117" s="83" t="s">
        <v>552</v>
      </c>
      <c r="X117" s="83" t="s">
        <v>552</v>
      </c>
      <c r="Y117" s="83" t="s">
        <v>552</v>
      </c>
      <c r="AA117" s="2" t="s">
        <v>1013</v>
      </c>
      <c r="AB117" s="2">
        <v>1.6120000000000001</v>
      </c>
      <c r="AC117" s="2">
        <v>128</v>
      </c>
      <c r="AD117" s="83" t="s">
        <v>552</v>
      </c>
      <c r="AE117" s="83" t="s">
        <v>552</v>
      </c>
      <c r="AF117" s="83"/>
      <c r="AG117" s="83"/>
    </row>
    <row r="118" spans="1:33" x14ac:dyDescent="0.25">
      <c r="E118" s="2">
        <v>2020</v>
      </c>
      <c r="F118" s="2" t="s">
        <v>178</v>
      </c>
      <c r="G118" s="2" t="s">
        <v>179</v>
      </c>
      <c r="H118" s="83">
        <v>6.7000000000000004E-2</v>
      </c>
      <c r="J118" s="2" t="s">
        <v>589</v>
      </c>
      <c r="K118" s="83">
        <v>1.21</v>
      </c>
      <c r="L118" s="83" t="s">
        <v>552</v>
      </c>
      <c r="M118" s="83" t="s">
        <v>552</v>
      </c>
      <c r="N118" s="83" t="s">
        <v>552</v>
      </c>
      <c r="T118" s="2" t="s">
        <v>745</v>
      </c>
      <c r="U118" s="83">
        <v>0.65</v>
      </c>
      <c r="V118" s="83" t="s">
        <v>552</v>
      </c>
      <c r="W118" s="83" t="s">
        <v>552</v>
      </c>
      <c r="X118" s="83" t="s">
        <v>552</v>
      </c>
      <c r="Y118" s="83" t="s">
        <v>552</v>
      </c>
      <c r="AA118" s="2" t="s">
        <v>1014</v>
      </c>
      <c r="AB118" s="2">
        <v>1.6259999999999999</v>
      </c>
      <c r="AC118" s="2">
        <v>180.8</v>
      </c>
      <c r="AD118" s="83" t="s">
        <v>552</v>
      </c>
      <c r="AE118" s="83" t="s">
        <v>552</v>
      </c>
      <c r="AF118" s="83"/>
      <c r="AG118" s="83"/>
    </row>
    <row r="119" spans="1:33" x14ac:dyDescent="0.25">
      <c r="E119" s="2">
        <v>2021</v>
      </c>
      <c r="F119" s="2" t="s">
        <v>178</v>
      </c>
      <c r="G119" s="2" t="s">
        <v>179</v>
      </c>
      <c r="H119" s="83">
        <v>2.8000000000000001E-2</v>
      </c>
      <c r="J119" s="2" t="s">
        <v>588</v>
      </c>
      <c r="K119" s="83">
        <v>1.21</v>
      </c>
      <c r="L119" s="83" t="s">
        <v>552</v>
      </c>
      <c r="M119" s="83" t="s">
        <v>552</v>
      </c>
      <c r="N119" s="83" t="s">
        <v>552</v>
      </c>
      <c r="T119" s="2" t="s">
        <v>747</v>
      </c>
      <c r="U119" s="2">
        <v>2.99</v>
      </c>
      <c r="V119" s="83" t="s">
        <v>552</v>
      </c>
      <c r="W119" s="83" t="s">
        <v>552</v>
      </c>
      <c r="X119" s="83" t="s">
        <v>552</v>
      </c>
      <c r="Y119" s="83" t="s">
        <v>552</v>
      </c>
      <c r="AA119" s="2" t="s">
        <v>1015</v>
      </c>
      <c r="AB119" s="2">
        <v>1.637</v>
      </c>
      <c r="AC119" s="2">
        <v>246.5</v>
      </c>
      <c r="AD119" s="83" t="s">
        <v>552</v>
      </c>
      <c r="AE119" s="83" t="s">
        <v>552</v>
      </c>
      <c r="AF119" s="83"/>
      <c r="AG119" s="83"/>
    </row>
    <row r="120" spans="1:33" ht="18" x14ac:dyDescent="0.35">
      <c r="A120" s="79" t="s">
        <v>273</v>
      </c>
      <c r="B120" s="79" t="s">
        <v>525</v>
      </c>
      <c r="E120" s="2">
        <v>2020</v>
      </c>
      <c r="F120" s="2" t="s">
        <v>136</v>
      </c>
      <c r="G120" s="2" t="s">
        <v>137</v>
      </c>
      <c r="H120" s="83">
        <v>5.3999999999999999E-2</v>
      </c>
      <c r="J120" s="2" t="s">
        <v>590</v>
      </c>
      <c r="K120" s="83">
        <v>1.21</v>
      </c>
      <c r="L120" s="83" t="s">
        <v>552</v>
      </c>
      <c r="M120" s="83" t="s">
        <v>552</v>
      </c>
      <c r="N120" s="83" t="s">
        <v>552</v>
      </c>
      <c r="T120" s="2" t="s">
        <v>750</v>
      </c>
      <c r="U120" s="2">
        <v>3.4</v>
      </c>
      <c r="V120" s="83" t="s">
        <v>552</v>
      </c>
      <c r="W120" s="83" t="s">
        <v>552</v>
      </c>
      <c r="X120" s="83" t="s">
        <v>552</v>
      </c>
      <c r="Y120" s="83" t="s">
        <v>552</v>
      </c>
      <c r="AA120" s="2" t="s">
        <v>1016</v>
      </c>
      <c r="AB120" s="2">
        <v>1.6459999999999999</v>
      </c>
      <c r="AC120" s="2">
        <v>307.8</v>
      </c>
      <c r="AD120" s="83" t="s">
        <v>552</v>
      </c>
      <c r="AE120" s="83" t="s">
        <v>552</v>
      </c>
      <c r="AF120" s="83"/>
      <c r="AG120" s="83"/>
    </row>
    <row r="121" spans="1:33" x14ac:dyDescent="0.25">
      <c r="A121" s="79"/>
      <c r="B121" s="79"/>
      <c r="E121" s="2">
        <v>2021</v>
      </c>
      <c r="F121" s="2" t="s">
        <v>136</v>
      </c>
      <c r="G121" s="2" t="s">
        <v>137</v>
      </c>
      <c r="H121" s="83">
        <v>6.5000000000000002E-2</v>
      </c>
      <c r="J121" s="2" t="s">
        <v>579</v>
      </c>
      <c r="K121" s="83">
        <v>0.9</v>
      </c>
      <c r="L121" s="83" t="s">
        <v>552</v>
      </c>
      <c r="M121" s="83" t="s">
        <v>552</v>
      </c>
      <c r="N121" s="83" t="s">
        <v>552</v>
      </c>
      <c r="T121" s="2" t="s">
        <v>751</v>
      </c>
      <c r="U121" s="2">
        <v>3.6</v>
      </c>
      <c r="V121" s="83" t="s">
        <v>552</v>
      </c>
      <c r="W121" s="83" t="s">
        <v>552</v>
      </c>
      <c r="X121" s="83" t="s">
        <v>552</v>
      </c>
      <c r="Y121" s="83" t="s">
        <v>552</v>
      </c>
      <c r="AA121" s="2" t="s">
        <v>1017</v>
      </c>
      <c r="AB121" s="2">
        <v>1.5589999999999999</v>
      </c>
      <c r="AC121" s="2">
        <v>20.3</v>
      </c>
      <c r="AD121" s="83" t="s">
        <v>552</v>
      </c>
      <c r="AE121" s="83" t="s">
        <v>552</v>
      </c>
      <c r="AF121" s="83"/>
      <c r="AG121" s="83"/>
    </row>
    <row r="122" spans="1:33" x14ac:dyDescent="0.25">
      <c r="A122" s="2" t="s">
        <v>269</v>
      </c>
      <c r="B122" s="2">
        <v>8480</v>
      </c>
      <c r="E122" s="2">
        <v>2022</v>
      </c>
      <c r="F122" s="2" t="s">
        <v>136</v>
      </c>
      <c r="G122" s="2" t="s">
        <v>137</v>
      </c>
      <c r="H122" s="83">
        <v>6.0999999999999999E-2</v>
      </c>
      <c r="J122" s="2" t="s">
        <v>580</v>
      </c>
      <c r="K122" s="83">
        <v>1</v>
      </c>
      <c r="L122" s="83" t="s">
        <v>552</v>
      </c>
      <c r="M122" s="83" t="s">
        <v>552</v>
      </c>
      <c r="N122" s="83" t="s">
        <v>552</v>
      </c>
      <c r="T122" s="2" t="s">
        <v>736</v>
      </c>
      <c r="U122" s="2">
        <v>3.8</v>
      </c>
      <c r="V122" s="83" t="s">
        <v>552</v>
      </c>
      <c r="W122" s="83" t="s">
        <v>552</v>
      </c>
      <c r="X122" s="83" t="s">
        <v>552</v>
      </c>
      <c r="Y122" s="83" t="s">
        <v>552</v>
      </c>
      <c r="AA122" s="2" t="s">
        <v>1018</v>
      </c>
      <c r="AB122" s="2">
        <v>1.6539999999999999</v>
      </c>
      <c r="AC122" s="2">
        <v>378.8</v>
      </c>
      <c r="AD122" s="83" t="s">
        <v>552</v>
      </c>
      <c r="AE122" s="83" t="s">
        <v>552</v>
      </c>
      <c r="AF122" s="83"/>
      <c r="AG122" s="83"/>
    </row>
    <row r="123" spans="1:33" x14ac:dyDescent="0.25">
      <c r="A123" s="2" t="s">
        <v>270</v>
      </c>
      <c r="B123" s="2">
        <v>8480</v>
      </c>
      <c r="E123" s="2">
        <v>2020</v>
      </c>
      <c r="F123" s="2" t="s">
        <v>124</v>
      </c>
      <c r="G123" s="2" t="s">
        <v>125</v>
      </c>
      <c r="H123" s="83">
        <v>7.3999999999999996E-2</v>
      </c>
      <c r="J123" s="2" t="s">
        <v>581</v>
      </c>
      <c r="K123" s="83">
        <v>1</v>
      </c>
      <c r="L123" s="83" t="s">
        <v>552</v>
      </c>
      <c r="M123" s="83" t="s">
        <v>552</v>
      </c>
      <c r="N123" s="83" t="s">
        <v>552</v>
      </c>
      <c r="T123" s="2" t="s">
        <v>748</v>
      </c>
      <c r="U123" s="84">
        <v>2</v>
      </c>
      <c r="V123" s="83" t="s">
        <v>552</v>
      </c>
      <c r="W123" s="83" t="s">
        <v>552</v>
      </c>
      <c r="X123" s="83" t="s">
        <v>552</v>
      </c>
      <c r="Y123" s="83" t="s">
        <v>552</v>
      </c>
      <c r="AA123" s="2" t="s">
        <v>1019</v>
      </c>
      <c r="AB123" s="2">
        <v>1.661</v>
      </c>
      <c r="AC123" s="2">
        <v>463.3</v>
      </c>
      <c r="AD123" s="83" t="s">
        <v>552</v>
      </c>
      <c r="AE123" s="83" t="s">
        <v>552</v>
      </c>
      <c r="AF123" s="83"/>
      <c r="AG123" s="83"/>
    </row>
    <row r="124" spans="1:33" x14ac:dyDescent="0.25">
      <c r="A124" s="2" t="s">
        <v>271</v>
      </c>
      <c r="B124" s="2">
        <v>8480</v>
      </c>
      <c r="E124" s="2">
        <v>2021</v>
      </c>
      <c r="F124" s="2" t="s">
        <v>124</v>
      </c>
      <c r="G124" s="2" t="s">
        <v>125</v>
      </c>
      <c r="H124" s="83">
        <v>7.1999999999999995E-2</v>
      </c>
      <c r="J124" s="2" t="s">
        <v>582</v>
      </c>
      <c r="K124" s="83">
        <v>1</v>
      </c>
      <c r="L124" s="83" t="s">
        <v>552</v>
      </c>
      <c r="M124" s="83" t="s">
        <v>552</v>
      </c>
      <c r="N124" s="83" t="s">
        <v>552</v>
      </c>
      <c r="T124" s="2" t="s">
        <v>749</v>
      </c>
      <c r="U124" s="2">
        <v>2.6</v>
      </c>
      <c r="V124" s="83" t="s">
        <v>552</v>
      </c>
      <c r="W124" s="83" t="s">
        <v>552</v>
      </c>
      <c r="X124" s="83" t="s">
        <v>552</v>
      </c>
      <c r="Y124" s="83" t="s">
        <v>552</v>
      </c>
      <c r="AA124" s="2" t="s">
        <v>1020</v>
      </c>
      <c r="AB124" s="2">
        <v>1.627</v>
      </c>
      <c r="AC124" s="2">
        <v>13.4</v>
      </c>
      <c r="AD124" s="83" t="s">
        <v>552</v>
      </c>
      <c r="AE124" s="83" t="s">
        <v>552</v>
      </c>
      <c r="AF124" s="83"/>
      <c r="AG124" s="83"/>
    </row>
    <row r="125" spans="1:33" x14ac:dyDescent="0.25">
      <c r="A125" s="2" t="s">
        <v>272</v>
      </c>
      <c r="B125" s="2">
        <v>8480</v>
      </c>
      <c r="E125" s="2">
        <v>2020</v>
      </c>
      <c r="F125" s="2" t="s">
        <v>182</v>
      </c>
      <c r="G125" s="2" t="s">
        <v>183</v>
      </c>
      <c r="H125" s="83">
        <v>0.15</v>
      </c>
      <c r="J125" s="2" t="s">
        <v>604</v>
      </c>
      <c r="K125" s="2">
        <v>2.2000000000000002</v>
      </c>
      <c r="L125" s="83" t="s">
        <v>552</v>
      </c>
      <c r="M125" s="83" t="s">
        <v>552</v>
      </c>
      <c r="N125" s="2">
        <v>0.97099999999999997</v>
      </c>
      <c r="T125" s="2" t="s">
        <v>738</v>
      </c>
      <c r="U125" s="85">
        <v>1</v>
      </c>
      <c r="V125" s="83" t="s">
        <v>552</v>
      </c>
      <c r="W125" s="83" t="s">
        <v>552</v>
      </c>
      <c r="X125" s="83" t="s">
        <v>552</v>
      </c>
      <c r="Y125" s="83" t="s">
        <v>552</v>
      </c>
      <c r="AA125" s="2" t="s">
        <v>1021</v>
      </c>
      <c r="AB125" s="2">
        <v>1.6279999999999999</v>
      </c>
      <c r="AC125" s="2">
        <v>22.52</v>
      </c>
      <c r="AD125" s="83" t="s">
        <v>552</v>
      </c>
      <c r="AE125" s="83" t="s">
        <v>552</v>
      </c>
      <c r="AF125" s="83"/>
      <c r="AG125" s="83"/>
    </row>
    <row r="126" spans="1:33" x14ac:dyDescent="0.25">
      <c r="A126" s="2" t="s">
        <v>0</v>
      </c>
      <c r="B126" s="87">
        <f>7000+4900</f>
        <v>11900</v>
      </c>
      <c r="E126" s="2">
        <v>2021</v>
      </c>
      <c r="F126" s="2" t="s">
        <v>182</v>
      </c>
      <c r="G126" s="2" t="s">
        <v>183</v>
      </c>
      <c r="H126" s="83">
        <v>7.8E-2</v>
      </c>
      <c r="J126" s="2" t="s">
        <v>605</v>
      </c>
      <c r="K126" s="2">
        <v>2.2000000000000002</v>
      </c>
      <c r="L126" s="83" t="s">
        <v>552</v>
      </c>
      <c r="M126" s="83" t="s">
        <v>552</v>
      </c>
      <c r="N126" s="2">
        <v>0.38900000000000001</v>
      </c>
      <c r="T126" s="2" t="s">
        <v>753</v>
      </c>
      <c r="U126" s="83">
        <v>2.6</v>
      </c>
      <c r="V126" s="83" t="s">
        <v>552</v>
      </c>
      <c r="W126" s="83" t="s">
        <v>552</v>
      </c>
      <c r="X126" s="83" t="s">
        <v>552</v>
      </c>
      <c r="Y126" s="83" t="s">
        <v>552</v>
      </c>
      <c r="AA126" s="2" t="s">
        <v>1022</v>
      </c>
      <c r="AB126" s="2">
        <v>1.63</v>
      </c>
      <c r="AC126" s="2">
        <v>37.04</v>
      </c>
      <c r="AD126" s="83" t="s">
        <v>552</v>
      </c>
      <c r="AE126" s="83" t="s">
        <v>552</v>
      </c>
      <c r="AF126" s="83"/>
      <c r="AG126" s="83"/>
    </row>
    <row r="127" spans="1:33" x14ac:dyDescent="0.25">
      <c r="A127" s="2" t="s">
        <v>526</v>
      </c>
      <c r="B127" s="2">
        <f>B122*1.15</f>
        <v>9752</v>
      </c>
      <c r="E127" s="2">
        <v>2022</v>
      </c>
      <c r="F127" s="2" t="s">
        <v>182</v>
      </c>
      <c r="G127" s="2" t="s">
        <v>183</v>
      </c>
      <c r="H127" s="83">
        <v>8.9999999999999993E-3</v>
      </c>
      <c r="J127" s="2" t="s">
        <v>594</v>
      </c>
      <c r="K127" s="2">
        <v>1.97</v>
      </c>
      <c r="L127" s="83" t="s">
        <v>552</v>
      </c>
      <c r="M127" s="83" t="s">
        <v>552</v>
      </c>
      <c r="N127" s="83" t="s">
        <v>552</v>
      </c>
      <c r="T127" s="2" t="s">
        <v>755</v>
      </c>
      <c r="U127" s="2">
        <v>2.5</v>
      </c>
      <c r="V127" s="2">
        <v>42</v>
      </c>
      <c r="W127" s="83" t="s">
        <v>552</v>
      </c>
      <c r="X127" s="83" t="s">
        <v>552</v>
      </c>
      <c r="Y127" s="83" t="s">
        <v>552</v>
      </c>
      <c r="AA127" s="2" t="s">
        <v>1023</v>
      </c>
      <c r="AB127" s="2">
        <v>1.63</v>
      </c>
      <c r="AC127" s="2">
        <v>53.42</v>
      </c>
      <c r="AD127" s="83" t="s">
        <v>552</v>
      </c>
      <c r="AE127" s="83" t="s">
        <v>552</v>
      </c>
      <c r="AF127" s="83"/>
      <c r="AG127" s="83"/>
    </row>
    <row r="128" spans="1:33" x14ac:dyDescent="0.25">
      <c r="A128" s="2" t="s">
        <v>527</v>
      </c>
      <c r="B128" s="2">
        <f>B123*1.15</f>
        <v>9752</v>
      </c>
      <c r="E128" s="2">
        <v>2020</v>
      </c>
      <c r="F128" s="2" t="s">
        <v>201</v>
      </c>
      <c r="G128" s="2" t="s">
        <v>202</v>
      </c>
      <c r="H128" s="83">
        <v>1.2E-2</v>
      </c>
      <c r="J128" s="2" t="s">
        <v>587</v>
      </c>
      <c r="K128" s="83">
        <v>3.5</v>
      </c>
      <c r="L128" s="83" t="s">
        <v>552</v>
      </c>
      <c r="M128" s="83" t="s">
        <v>552</v>
      </c>
      <c r="N128" s="83" t="s">
        <v>552</v>
      </c>
      <c r="T128" s="2" t="s">
        <v>756</v>
      </c>
      <c r="U128" s="2">
        <v>2.5</v>
      </c>
      <c r="V128" s="2">
        <v>106</v>
      </c>
      <c r="W128" s="83" t="s">
        <v>552</v>
      </c>
      <c r="X128" s="83" t="s">
        <v>552</v>
      </c>
      <c r="Y128" s="83" t="s">
        <v>552</v>
      </c>
      <c r="AA128" s="2" t="s">
        <v>1024</v>
      </c>
      <c r="AB128" s="2">
        <v>1.631</v>
      </c>
      <c r="AC128" s="2">
        <v>69.64</v>
      </c>
      <c r="AD128" s="83" t="s">
        <v>552</v>
      </c>
      <c r="AE128" s="83" t="s">
        <v>552</v>
      </c>
      <c r="AF128" s="83"/>
      <c r="AG128" s="83"/>
    </row>
    <row r="129" spans="1:33" x14ac:dyDescent="0.25">
      <c r="A129" s="2" t="s">
        <v>528</v>
      </c>
      <c r="B129" s="2">
        <f>B124*1.2</f>
        <v>10176</v>
      </c>
      <c r="E129" s="2">
        <v>2021</v>
      </c>
      <c r="F129" s="2" t="s">
        <v>201</v>
      </c>
      <c r="G129" s="2" t="s">
        <v>202</v>
      </c>
      <c r="H129" s="83">
        <v>4.2000000000000003E-2</v>
      </c>
      <c r="J129" s="2" t="s">
        <v>606</v>
      </c>
      <c r="K129" s="2">
        <v>2.9</v>
      </c>
      <c r="L129" s="83" t="s">
        <v>552</v>
      </c>
      <c r="M129" s="83" t="s">
        <v>552</v>
      </c>
      <c r="N129" s="83" t="s">
        <v>552</v>
      </c>
      <c r="T129" s="2" t="s">
        <v>757</v>
      </c>
      <c r="U129" s="2">
        <v>2.5</v>
      </c>
      <c r="V129" s="2">
        <v>131</v>
      </c>
      <c r="W129" s="83" t="s">
        <v>552</v>
      </c>
      <c r="X129" s="83" t="s">
        <v>552</v>
      </c>
      <c r="Y129" s="83" t="s">
        <v>552</v>
      </c>
      <c r="AA129" s="2" t="s">
        <v>1025</v>
      </c>
      <c r="AB129" s="2">
        <v>1.627</v>
      </c>
      <c r="AC129" s="2">
        <v>6.89</v>
      </c>
      <c r="AD129" s="83" t="s">
        <v>552</v>
      </c>
      <c r="AE129" s="83" t="s">
        <v>552</v>
      </c>
      <c r="AF129" s="83"/>
      <c r="AG129" s="83"/>
    </row>
    <row r="130" spans="1:33" x14ac:dyDescent="0.25">
      <c r="A130" s="2" t="s">
        <v>529</v>
      </c>
      <c r="B130" s="2">
        <f>B125*1.2</f>
        <v>10176</v>
      </c>
      <c r="E130" s="2">
        <v>2020</v>
      </c>
      <c r="F130" s="2" t="s">
        <v>161</v>
      </c>
      <c r="G130" s="2" t="s">
        <v>162</v>
      </c>
      <c r="H130" s="83">
        <v>0.106</v>
      </c>
      <c r="J130" s="2" t="s">
        <v>607</v>
      </c>
      <c r="K130" s="2">
        <v>2.9</v>
      </c>
      <c r="L130" s="83" t="s">
        <v>552</v>
      </c>
      <c r="M130" s="83" t="s">
        <v>552</v>
      </c>
      <c r="N130" s="2">
        <v>6.38</v>
      </c>
      <c r="T130" s="2" t="s">
        <v>758</v>
      </c>
      <c r="U130" s="2">
        <v>2.5</v>
      </c>
      <c r="V130" s="2">
        <v>153</v>
      </c>
      <c r="W130" s="83" t="s">
        <v>552</v>
      </c>
      <c r="X130" s="83" t="s">
        <v>552</v>
      </c>
      <c r="Y130" s="83" t="s">
        <v>552</v>
      </c>
      <c r="AA130" s="2" t="s">
        <v>1026</v>
      </c>
      <c r="AB130" s="2">
        <v>1.627</v>
      </c>
      <c r="AC130" s="2">
        <v>8.89</v>
      </c>
      <c r="AD130" s="83" t="s">
        <v>552</v>
      </c>
      <c r="AE130" s="83" t="s">
        <v>552</v>
      </c>
      <c r="AF130" s="83"/>
      <c r="AG130" s="83"/>
    </row>
    <row r="131" spans="1:33" x14ac:dyDescent="0.25">
      <c r="E131" s="2">
        <v>2021</v>
      </c>
      <c r="F131" s="2" t="s">
        <v>161</v>
      </c>
      <c r="G131" s="2" t="s">
        <v>162</v>
      </c>
      <c r="H131" s="83">
        <v>0.121</v>
      </c>
      <c r="J131" s="2" t="s">
        <v>608</v>
      </c>
      <c r="K131" s="2">
        <v>2.9</v>
      </c>
      <c r="L131" s="83" t="s">
        <v>552</v>
      </c>
      <c r="M131" s="83" t="s">
        <v>552</v>
      </c>
      <c r="N131" s="2">
        <v>8.6999999999999993</v>
      </c>
      <c r="T131" s="2" t="s">
        <v>759</v>
      </c>
      <c r="U131" s="2">
        <v>2.5</v>
      </c>
      <c r="V131" s="2">
        <v>208</v>
      </c>
      <c r="W131" s="83" t="s">
        <v>552</v>
      </c>
      <c r="X131" s="83" t="s">
        <v>552</v>
      </c>
      <c r="Y131" s="83" t="s">
        <v>552</v>
      </c>
    </row>
    <row r="132" spans="1:33" x14ac:dyDescent="0.25">
      <c r="E132" s="2">
        <v>2022</v>
      </c>
      <c r="F132" s="2" t="s">
        <v>161</v>
      </c>
      <c r="G132" s="2" t="s">
        <v>162</v>
      </c>
      <c r="H132" s="83">
        <v>0.105</v>
      </c>
      <c r="J132" s="2" t="s">
        <v>609</v>
      </c>
      <c r="K132" s="2">
        <v>2.9</v>
      </c>
      <c r="L132" s="83" t="s">
        <v>552</v>
      </c>
      <c r="M132" s="83" t="s">
        <v>552</v>
      </c>
      <c r="N132" s="2">
        <v>11.6</v>
      </c>
      <c r="T132" s="2" t="s">
        <v>760</v>
      </c>
      <c r="U132" s="2">
        <v>2.5</v>
      </c>
      <c r="V132" s="2">
        <v>258</v>
      </c>
      <c r="W132" s="83" t="s">
        <v>552</v>
      </c>
      <c r="X132" s="83" t="s">
        <v>552</v>
      </c>
      <c r="Y132" s="83" t="s">
        <v>552</v>
      </c>
    </row>
    <row r="133" spans="1:33" ht="18.75" thickBot="1" x14ac:dyDescent="0.4">
      <c r="A133" s="79" t="s">
        <v>274</v>
      </c>
      <c r="B133" s="79" t="s">
        <v>525</v>
      </c>
      <c r="E133" s="2">
        <v>2020</v>
      </c>
      <c r="F133" s="2" t="s">
        <v>200</v>
      </c>
      <c r="G133" s="2" t="s">
        <v>121</v>
      </c>
      <c r="H133" s="83">
        <v>7.9000000000000001E-2</v>
      </c>
      <c r="J133" s="2" t="s">
        <v>610</v>
      </c>
      <c r="K133" s="2">
        <v>2.6</v>
      </c>
      <c r="L133" s="83" t="s">
        <v>552</v>
      </c>
      <c r="M133" s="83" t="s">
        <v>552</v>
      </c>
      <c r="N133" s="83" t="s">
        <v>552</v>
      </c>
      <c r="T133" s="2" t="s">
        <v>761</v>
      </c>
      <c r="U133" s="2">
        <v>2.5</v>
      </c>
      <c r="V133" s="2">
        <v>293</v>
      </c>
      <c r="W133" s="83" t="s">
        <v>552</v>
      </c>
      <c r="X133" s="83" t="s">
        <v>552</v>
      </c>
      <c r="Y133" s="83" t="s">
        <v>552</v>
      </c>
      <c r="AA133" s="86" t="s">
        <v>1092</v>
      </c>
      <c r="AB133" s="86" t="s">
        <v>1028</v>
      </c>
      <c r="AC133" s="86" t="s">
        <v>1029</v>
      </c>
    </row>
    <row r="134" spans="1:33" x14ac:dyDescent="0.25">
      <c r="A134" s="79"/>
      <c r="B134" s="79"/>
      <c r="E134" s="2">
        <v>2021</v>
      </c>
      <c r="F134" s="2" t="s">
        <v>200</v>
      </c>
      <c r="G134" s="2" t="s">
        <v>121</v>
      </c>
      <c r="H134" s="83">
        <v>0.1</v>
      </c>
      <c r="J134" s="2" t="s">
        <v>611</v>
      </c>
      <c r="K134" s="2">
        <v>2.6</v>
      </c>
      <c r="L134" s="83" t="s">
        <v>552</v>
      </c>
      <c r="M134" s="83" t="s">
        <v>552</v>
      </c>
      <c r="N134" s="2">
        <v>8.32</v>
      </c>
      <c r="T134" s="2" t="s">
        <v>762</v>
      </c>
      <c r="U134" s="2">
        <v>2.5</v>
      </c>
      <c r="V134" s="2">
        <v>318</v>
      </c>
      <c r="W134" s="83" t="s">
        <v>552</v>
      </c>
      <c r="X134" s="83" t="s">
        <v>552</v>
      </c>
      <c r="Y134" s="83" t="s">
        <v>552</v>
      </c>
      <c r="AA134" s="103"/>
      <c r="AB134" s="103"/>
      <c r="AC134" s="103"/>
    </row>
    <row r="135" spans="1:33" x14ac:dyDescent="0.25">
      <c r="A135" s="2" t="s">
        <v>269</v>
      </c>
      <c r="B135" s="2">
        <v>10570</v>
      </c>
      <c r="E135" s="2">
        <v>2022</v>
      </c>
      <c r="F135" s="2" t="s">
        <v>200</v>
      </c>
      <c r="G135" s="2" t="s">
        <v>121</v>
      </c>
      <c r="H135" s="83">
        <v>8.6999999999999994E-2</v>
      </c>
      <c r="J135" s="2" t="s">
        <v>612</v>
      </c>
      <c r="K135" s="2">
        <v>2.6</v>
      </c>
      <c r="L135" s="83" t="s">
        <v>552</v>
      </c>
      <c r="M135" s="83" t="s">
        <v>552</v>
      </c>
      <c r="N135" s="2">
        <v>8.84</v>
      </c>
      <c r="T135" s="2" t="s">
        <v>763</v>
      </c>
      <c r="U135" s="2">
        <v>2.5</v>
      </c>
      <c r="V135" s="2">
        <v>355</v>
      </c>
      <c r="W135" s="83" t="s">
        <v>552</v>
      </c>
      <c r="X135" s="83" t="s">
        <v>552</v>
      </c>
      <c r="Y135" s="83" t="s">
        <v>552</v>
      </c>
      <c r="AA135" s="2" t="s">
        <v>1046</v>
      </c>
      <c r="AB135" s="85">
        <f>21.2/1.5</f>
        <v>14.133333333333333</v>
      </c>
      <c r="AC135" s="85">
        <f>AB135*0.25</f>
        <v>3.5333333333333332</v>
      </c>
    </row>
    <row r="136" spans="1:33" x14ac:dyDescent="0.25">
      <c r="A136" s="2" t="s">
        <v>270</v>
      </c>
      <c r="B136" s="2">
        <v>10570</v>
      </c>
      <c r="E136" s="2">
        <v>2020</v>
      </c>
      <c r="F136" s="2" t="s">
        <v>212</v>
      </c>
      <c r="G136" s="2" t="s">
        <v>213</v>
      </c>
      <c r="H136" s="83">
        <v>5.0000000000000001E-3</v>
      </c>
      <c r="J136" s="2" t="s">
        <v>613</v>
      </c>
      <c r="K136" s="2">
        <v>2.6</v>
      </c>
      <c r="L136" s="83" t="s">
        <v>552</v>
      </c>
      <c r="M136" s="83" t="s">
        <v>552</v>
      </c>
      <c r="N136" s="2">
        <v>9.6199999999999992</v>
      </c>
      <c r="T136" s="2" t="s">
        <v>764</v>
      </c>
      <c r="U136" s="2">
        <v>2.5</v>
      </c>
      <c r="V136" s="2">
        <v>388</v>
      </c>
      <c r="W136" s="83" t="s">
        <v>552</v>
      </c>
      <c r="X136" s="83" t="s">
        <v>552</v>
      </c>
      <c r="Y136" s="83" t="s">
        <v>552</v>
      </c>
      <c r="AA136" s="2" t="s">
        <v>1040</v>
      </c>
      <c r="AB136" s="85">
        <f>11.6/1.5</f>
        <v>7.7333333333333334</v>
      </c>
      <c r="AC136" s="85">
        <f>AB136*0.25</f>
        <v>1.9333333333333333</v>
      </c>
    </row>
    <row r="137" spans="1:33" x14ac:dyDescent="0.25">
      <c r="A137" s="2" t="s">
        <v>271</v>
      </c>
      <c r="B137" s="2">
        <v>10570</v>
      </c>
      <c r="E137" s="2">
        <v>2021</v>
      </c>
      <c r="F137" s="2" t="s">
        <v>212</v>
      </c>
      <c r="G137" s="2" t="s">
        <v>213</v>
      </c>
      <c r="H137" s="83">
        <v>1.7000000000000001E-2</v>
      </c>
      <c r="J137" s="2" t="s">
        <v>575</v>
      </c>
      <c r="K137" s="83">
        <v>0.09</v>
      </c>
      <c r="L137" s="83" t="s">
        <v>552</v>
      </c>
      <c r="M137" s="83" t="s">
        <v>552</v>
      </c>
      <c r="N137" s="83" t="s">
        <v>552</v>
      </c>
      <c r="T137" s="2" t="s">
        <v>765</v>
      </c>
      <c r="U137" s="2">
        <v>2.5</v>
      </c>
      <c r="V137" s="2">
        <v>428</v>
      </c>
      <c r="W137" s="83" t="s">
        <v>552</v>
      </c>
      <c r="X137" s="83" t="s">
        <v>552</v>
      </c>
      <c r="Y137" s="83" t="s">
        <v>552</v>
      </c>
      <c r="AA137" s="2" t="s">
        <v>1036</v>
      </c>
      <c r="AB137" s="85">
        <f>16.3/1.5</f>
        <v>10.866666666666667</v>
      </c>
      <c r="AC137" s="85">
        <f>AB137*0.25</f>
        <v>2.7166666666666668</v>
      </c>
    </row>
    <row r="138" spans="1:33" x14ac:dyDescent="0.25">
      <c r="A138" s="2" t="s">
        <v>272</v>
      </c>
      <c r="B138" s="2">
        <v>10570</v>
      </c>
      <c r="E138" s="2">
        <v>2020</v>
      </c>
      <c r="F138" s="2" t="s">
        <v>142</v>
      </c>
      <c r="G138" s="2" t="s">
        <v>143</v>
      </c>
      <c r="H138" s="83">
        <v>0.20300000000000001</v>
      </c>
      <c r="J138" s="2" t="s">
        <v>574</v>
      </c>
      <c r="K138" s="83">
        <v>0.85</v>
      </c>
      <c r="L138" s="83" t="s">
        <v>552</v>
      </c>
      <c r="M138" s="83" t="s">
        <v>552</v>
      </c>
      <c r="N138" s="83" t="s">
        <v>552</v>
      </c>
      <c r="T138" s="2" t="s">
        <v>766</v>
      </c>
      <c r="U138" s="2">
        <v>2.5</v>
      </c>
      <c r="V138" s="2">
        <v>468</v>
      </c>
      <c r="W138" s="83" t="s">
        <v>552</v>
      </c>
      <c r="X138" s="83" t="s">
        <v>552</v>
      </c>
      <c r="Y138" s="83" t="s">
        <v>552</v>
      </c>
      <c r="AA138" s="2" t="s">
        <v>1044</v>
      </c>
      <c r="AB138" s="85">
        <f>23.9/1.5</f>
        <v>15.933333333333332</v>
      </c>
      <c r="AC138" s="85">
        <f>AB138*0.25</f>
        <v>3.9833333333333329</v>
      </c>
    </row>
    <row r="139" spans="1:33" x14ac:dyDescent="0.25">
      <c r="A139" s="2" t="s">
        <v>0</v>
      </c>
      <c r="B139" s="87">
        <f>8000+6900</f>
        <v>14900</v>
      </c>
      <c r="E139" s="2">
        <v>2021</v>
      </c>
      <c r="F139" s="2" t="s">
        <v>142</v>
      </c>
      <c r="G139" s="2" t="s">
        <v>143</v>
      </c>
      <c r="H139" s="83">
        <v>0.122</v>
      </c>
      <c r="J139" s="2" t="s">
        <v>614</v>
      </c>
      <c r="K139" s="2">
        <v>2.27</v>
      </c>
      <c r="L139" s="83" t="s">
        <v>552</v>
      </c>
      <c r="M139" s="83" t="s">
        <v>552</v>
      </c>
      <c r="N139" s="2">
        <v>0.193</v>
      </c>
      <c r="T139" s="2" t="s">
        <v>767</v>
      </c>
      <c r="U139" s="2">
        <v>2.5</v>
      </c>
      <c r="V139" s="2">
        <v>40</v>
      </c>
      <c r="W139" s="83" t="s">
        <v>552</v>
      </c>
      <c r="X139" s="83" t="s">
        <v>552</v>
      </c>
      <c r="Y139" s="83" t="s">
        <v>552</v>
      </c>
      <c r="AA139" s="2" t="s">
        <v>1034</v>
      </c>
      <c r="AB139" s="85">
        <v>6.8</v>
      </c>
      <c r="AC139" s="85">
        <v>1.7</v>
      </c>
    </row>
    <row r="140" spans="1:33" x14ac:dyDescent="0.25">
      <c r="A140" s="2" t="s">
        <v>526</v>
      </c>
      <c r="B140" s="87">
        <f>B135*1.15</f>
        <v>12155.499999999998</v>
      </c>
      <c r="E140" s="2">
        <v>2022</v>
      </c>
      <c r="F140" s="2" t="s">
        <v>142</v>
      </c>
      <c r="G140" s="2" t="s">
        <v>143</v>
      </c>
      <c r="H140" s="83">
        <v>0.113</v>
      </c>
      <c r="J140" s="2" t="s">
        <v>615</v>
      </c>
      <c r="K140" s="2">
        <v>2.27</v>
      </c>
      <c r="L140" s="83" t="s">
        <v>552</v>
      </c>
      <c r="M140" s="83" t="s">
        <v>552</v>
      </c>
      <c r="N140" s="2">
        <v>0.30599999999999999</v>
      </c>
      <c r="T140" s="2" t="s">
        <v>768</v>
      </c>
      <c r="U140" s="2">
        <v>2.5</v>
      </c>
      <c r="V140" s="2">
        <v>56</v>
      </c>
      <c r="W140" s="83" t="s">
        <v>552</v>
      </c>
      <c r="X140" s="83" t="s">
        <v>552</v>
      </c>
      <c r="Y140" s="83" t="s">
        <v>552</v>
      </c>
      <c r="AA140" s="2" t="s">
        <v>1037</v>
      </c>
      <c r="AB140" s="85">
        <f>13.4/1.5</f>
        <v>8.9333333333333336</v>
      </c>
      <c r="AC140" s="85">
        <f>AB140*0.25</f>
        <v>2.2333333333333334</v>
      </c>
    </row>
    <row r="141" spans="1:33" x14ac:dyDescent="0.25">
      <c r="A141" s="2" t="s">
        <v>527</v>
      </c>
      <c r="B141" s="87">
        <f>B136*1.15</f>
        <v>12155.499999999998</v>
      </c>
      <c r="E141" s="2">
        <v>2020</v>
      </c>
      <c r="F141" s="2" t="s">
        <v>232</v>
      </c>
      <c r="G141" s="2" t="s">
        <v>233</v>
      </c>
      <c r="H141" s="83">
        <v>0.37</v>
      </c>
      <c r="J141" s="2" t="s">
        <v>616</v>
      </c>
      <c r="K141" s="2">
        <v>2.27</v>
      </c>
      <c r="L141" s="83" t="s">
        <v>552</v>
      </c>
      <c r="M141" s="83" t="s">
        <v>552</v>
      </c>
      <c r="N141" s="2">
        <v>0.45400000000000001</v>
      </c>
      <c r="T141" s="2" t="s">
        <v>769</v>
      </c>
      <c r="U141" s="2">
        <v>2.5</v>
      </c>
      <c r="V141" s="2">
        <v>77</v>
      </c>
      <c r="W141" s="83" t="s">
        <v>552</v>
      </c>
      <c r="X141" s="83" t="s">
        <v>552</v>
      </c>
      <c r="Y141" s="83" t="s">
        <v>552</v>
      </c>
      <c r="AA141" s="2" t="s">
        <v>1045</v>
      </c>
      <c r="AB141" s="85">
        <f>23.9/1.5</f>
        <v>15.933333333333332</v>
      </c>
      <c r="AC141" s="85">
        <f>AB141*0.25</f>
        <v>3.9833333333333329</v>
      </c>
    </row>
    <row r="142" spans="1:33" x14ac:dyDescent="0.25">
      <c r="A142" s="2" t="s">
        <v>528</v>
      </c>
      <c r="B142" s="87">
        <f>B137*1.2</f>
        <v>12684</v>
      </c>
      <c r="E142" s="2">
        <v>2021</v>
      </c>
      <c r="F142" s="2" t="s">
        <v>232</v>
      </c>
      <c r="G142" s="2" t="s">
        <v>233</v>
      </c>
      <c r="H142" s="83">
        <v>0.40100000000000002</v>
      </c>
      <c r="J142" s="2" t="s">
        <v>617</v>
      </c>
      <c r="K142" s="2">
        <v>2.27</v>
      </c>
      <c r="L142" s="83" t="s">
        <v>552</v>
      </c>
      <c r="M142" s="83" t="s">
        <v>552</v>
      </c>
      <c r="N142" s="2">
        <v>0.60199999999999998</v>
      </c>
      <c r="T142" s="2" t="s">
        <v>770</v>
      </c>
      <c r="U142" s="2">
        <v>2.5</v>
      </c>
      <c r="V142" s="2">
        <v>166</v>
      </c>
      <c r="W142" s="83" t="s">
        <v>552</v>
      </c>
      <c r="X142" s="83" t="s">
        <v>552</v>
      </c>
      <c r="Y142" s="83" t="s">
        <v>552</v>
      </c>
      <c r="AA142" s="2" t="s">
        <v>1039</v>
      </c>
      <c r="AB142" s="85">
        <f>11.9/1.5</f>
        <v>7.9333333333333336</v>
      </c>
      <c r="AC142" s="85">
        <f>AB142*0.25</f>
        <v>1.9833333333333334</v>
      </c>
    </row>
    <row r="143" spans="1:33" x14ac:dyDescent="0.25">
      <c r="A143" s="2" t="s">
        <v>529</v>
      </c>
      <c r="B143" s="87">
        <f>B138*1.2</f>
        <v>12684</v>
      </c>
      <c r="E143" s="2">
        <v>2022</v>
      </c>
      <c r="F143" s="2" t="s">
        <v>232</v>
      </c>
      <c r="G143" s="2" t="s">
        <v>233</v>
      </c>
      <c r="H143" s="83">
        <v>0.35699999999999998</v>
      </c>
      <c r="J143" s="2" t="s">
        <v>618</v>
      </c>
      <c r="K143" s="2">
        <v>2.27</v>
      </c>
      <c r="L143" s="83" t="s">
        <v>552</v>
      </c>
      <c r="M143" s="83" t="s">
        <v>552</v>
      </c>
      <c r="N143" s="2">
        <v>0.80600000000000005</v>
      </c>
      <c r="T143" s="2" t="s">
        <v>771</v>
      </c>
      <c r="U143" s="2">
        <v>2.5</v>
      </c>
      <c r="V143" s="2">
        <v>194</v>
      </c>
      <c r="W143" s="83" t="s">
        <v>552</v>
      </c>
      <c r="X143" s="83" t="s">
        <v>552</v>
      </c>
      <c r="Y143" s="83" t="s">
        <v>552</v>
      </c>
      <c r="AA143" s="2" t="s">
        <v>1042</v>
      </c>
      <c r="AB143" s="85">
        <f>42.8/1.5</f>
        <v>28.533333333333331</v>
      </c>
      <c r="AC143" s="85">
        <f>AB143*0.25</f>
        <v>7.1333333333333329</v>
      </c>
    </row>
    <row r="144" spans="1:33" x14ac:dyDescent="0.25">
      <c r="E144" s="2">
        <v>2020</v>
      </c>
      <c r="F144" s="2" t="s">
        <v>214</v>
      </c>
      <c r="G144" s="2" t="s">
        <v>117</v>
      </c>
      <c r="H144" s="83">
        <v>0.247</v>
      </c>
      <c r="J144" s="2" t="s">
        <v>578</v>
      </c>
      <c r="K144" s="83">
        <v>0.3</v>
      </c>
      <c r="L144" s="83" t="s">
        <v>552</v>
      </c>
      <c r="M144" s="83" t="s">
        <v>552</v>
      </c>
      <c r="N144" s="83" t="s">
        <v>552</v>
      </c>
      <c r="T144" s="2" t="s">
        <v>772</v>
      </c>
      <c r="U144" s="2">
        <v>2.5</v>
      </c>
      <c r="V144" s="2">
        <v>227</v>
      </c>
      <c r="W144" s="83" t="s">
        <v>552</v>
      </c>
      <c r="X144" s="83" t="s">
        <v>552</v>
      </c>
      <c r="Y144" s="83" t="s">
        <v>552</v>
      </c>
      <c r="AA144" s="2" t="s">
        <v>1052</v>
      </c>
      <c r="AB144" s="85">
        <v>13</v>
      </c>
      <c r="AC144" s="85">
        <f>AB144*0.25</f>
        <v>3.25</v>
      </c>
    </row>
    <row r="145" spans="1:29" x14ac:dyDescent="0.25">
      <c r="E145" s="2">
        <v>2021</v>
      </c>
      <c r="F145" s="2" t="s">
        <v>214</v>
      </c>
      <c r="G145" s="2" t="s">
        <v>117</v>
      </c>
      <c r="H145" s="83">
        <v>0.182</v>
      </c>
      <c r="J145" s="2" t="s">
        <v>593</v>
      </c>
      <c r="K145" s="83">
        <v>2.6</v>
      </c>
      <c r="L145" s="83" t="s">
        <v>552</v>
      </c>
      <c r="M145" s="83" t="s">
        <v>552</v>
      </c>
      <c r="N145" s="83" t="s">
        <v>552</v>
      </c>
      <c r="T145" s="2" t="s">
        <v>773</v>
      </c>
      <c r="U145" s="2">
        <v>2.5</v>
      </c>
      <c r="V145" s="2">
        <v>7</v>
      </c>
      <c r="W145" s="83" t="s">
        <v>552</v>
      </c>
      <c r="X145" s="83" t="s">
        <v>552</v>
      </c>
      <c r="Y145" s="83" t="s">
        <v>552</v>
      </c>
      <c r="AA145" s="2" t="s">
        <v>1032</v>
      </c>
      <c r="AB145" s="85">
        <v>6.8</v>
      </c>
      <c r="AC145" s="85">
        <v>1.7</v>
      </c>
    </row>
    <row r="146" spans="1:29" ht="18" x14ac:dyDescent="0.35">
      <c r="A146" s="79" t="s">
        <v>530</v>
      </c>
      <c r="B146" s="79" t="s">
        <v>525</v>
      </c>
      <c r="E146" s="2">
        <v>2020</v>
      </c>
      <c r="F146" s="2" t="s">
        <v>234</v>
      </c>
      <c r="G146" s="2" t="s">
        <v>117</v>
      </c>
      <c r="H146" s="83">
        <v>2.5000000000000001E-2</v>
      </c>
      <c r="T146" s="2" t="s">
        <v>774</v>
      </c>
      <c r="U146" s="2">
        <v>2.5</v>
      </c>
      <c r="V146" s="2">
        <v>43</v>
      </c>
      <c r="W146" s="83" t="s">
        <v>552</v>
      </c>
      <c r="X146" s="83" t="s">
        <v>552</v>
      </c>
      <c r="Y146" s="83" t="s">
        <v>552</v>
      </c>
      <c r="AA146" s="2" t="s">
        <v>1048</v>
      </c>
      <c r="AB146" s="85">
        <f>27.2/1.5</f>
        <v>18.133333333333333</v>
      </c>
      <c r="AC146" s="85">
        <f>AB146*0.25</f>
        <v>4.5333333333333332</v>
      </c>
    </row>
    <row r="147" spans="1:29" x14ac:dyDescent="0.25">
      <c r="A147" s="79"/>
      <c r="B147" s="79"/>
      <c r="E147" s="2">
        <v>2021</v>
      </c>
      <c r="F147" s="2" t="s">
        <v>234</v>
      </c>
      <c r="G147" s="2" t="s">
        <v>117</v>
      </c>
      <c r="H147" s="83">
        <v>7.5999999999999998E-2</v>
      </c>
      <c r="J147" s="79" t="s">
        <v>620</v>
      </c>
      <c r="K147" s="83"/>
      <c r="T147" s="2" t="s">
        <v>775</v>
      </c>
      <c r="U147" s="2">
        <v>2.5</v>
      </c>
      <c r="V147" s="2">
        <v>47</v>
      </c>
      <c r="W147" s="83" t="s">
        <v>552</v>
      </c>
      <c r="X147" s="83" t="s">
        <v>552</v>
      </c>
      <c r="Y147" s="83" t="s">
        <v>552</v>
      </c>
      <c r="AA147" s="2" t="s">
        <v>1047</v>
      </c>
      <c r="AB147" s="85">
        <f>35.8/1.5</f>
        <v>23.866666666666664</v>
      </c>
      <c r="AC147" s="85">
        <f>AB147*0.25</f>
        <v>5.9666666666666659</v>
      </c>
    </row>
    <row r="148" spans="1:29" x14ac:dyDescent="0.25">
      <c r="A148" s="2" t="s">
        <v>535</v>
      </c>
      <c r="B148" s="2">
        <f>0.005*8*2400</f>
        <v>96</v>
      </c>
      <c r="E148" s="2">
        <v>2020</v>
      </c>
      <c r="F148" s="2" t="s">
        <v>185</v>
      </c>
      <c r="G148" s="2" t="s">
        <v>186</v>
      </c>
      <c r="H148" s="83">
        <v>7.4999999999999997E-2</v>
      </c>
      <c r="J148" s="79"/>
      <c r="K148" s="83"/>
      <c r="T148" s="2" t="s">
        <v>776</v>
      </c>
      <c r="U148" s="2">
        <v>2.5</v>
      </c>
      <c r="V148" s="2">
        <v>56</v>
      </c>
      <c r="W148" s="83" t="s">
        <v>552</v>
      </c>
      <c r="X148" s="83" t="s">
        <v>552</v>
      </c>
      <c r="Y148" s="83" t="s">
        <v>552</v>
      </c>
      <c r="AA148" s="2" t="s">
        <v>1035</v>
      </c>
      <c r="AB148" s="85">
        <f>7.5/1.5</f>
        <v>5</v>
      </c>
      <c r="AC148" s="85">
        <f>AB148*0.25</f>
        <v>1.25</v>
      </c>
    </row>
    <row r="149" spans="1:29" x14ac:dyDescent="0.25">
      <c r="A149" s="2" t="s">
        <v>531</v>
      </c>
      <c r="B149" s="87">
        <f>0.007*2400*8</f>
        <v>134.4</v>
      </c>
      <c r="E149" s="2">
        <v>2021</v>
      </c>
      <c r="F149" s="2" t="s">
        <v>185</v>
      </c>
      <c r="G149" s="2" t="s">
        <v>186</v>
      </c>
      <c r="H149" s="83">
        <v>0.13400000000000001</v>
      </c>
      <c r="J149" s="2" t="s">
        <v>628</v>
      </c>
      <c r="K149" s="83">
        <v>0.26</v>
      </c>
      <c r="L149" s="83" t="s">
        <v>552</v>
      </c>
      <c r="M149" s="83" t="s">
        <v>552</v>
      </c>
      <c r="N149" s="83" t="s">
        <v>552</v>
      </c>
      <c r="T149" s="2" t="s">
        <v>777</v>
      </c>
      <c r="U149" s="2">
        <v>2.5</v>
      </c>
      <c r="V149" s="2">
        <v>66</v>
      </c>
      <c r="W149" s="83" t="s">
        <v>552</v>
      </c>
      <c r="X149" s="83" t="s">
        <v>552</v>
      </c>
      <c r="Y149" s="83" t="s">
        <v>552</v>
      </c>
      <c r="AA149" s="2" t="s">
        <v>1049</v>
      </c>
      <c r="AB149" s="85">
        <f>25.5/1.5</f>
        <v>17</v>
      </c>
      <c r="AC149" s="85">
        <f>AB149*0.25</f>
        <v>4.25</v>
      </c>
    </row>
    <row r="150" spans="1:29" x14ac:dyDescent="0.25">
      <c r="A150" s="2" t="s">
        <v>275</v>
      </c>
      <c r="B150" s="2">
        <v>634</v>
      </c>
      <c r="E150" s="2">
        <v>2020</v>
      </c>
      <c r="F150" s="2" t="s">
        <v>150</v>
      </c>
      <c r="G150" s="2" t="s">
        <v>151</v>
      </c>
      <c r="H150" s="83">
        <v>0.125</v>
      </c>
      <c r="J150" s="2" t="s">
        <v>629</v>
      </c>
      <c r="K150" s="83">
        <v>0.23</v>
      </c>
      <c r="L150" s="83" t="s">
        <v>552</v>
      </c>
      <c r="M150" s="83" t="s">
        <v>552</v>
      </c>
      <c r="N150" s="83" t="s">
        <v>552</v>
      </c>
      <c r="T150" s="2" t="s">
        <v>778</v>
      </c>
      <c r="U150" s="2">
        <v>2.5</v>
      </c>
      <c r="V150" s="2">
        <v>143</v>
      </c>
      <c r="W150" s="83" t="s">
        <v>552</v>
      </c>
      <c r="X150" s="83" t="s">
        <v>552</v>
      </c>
      <c r="Y150" s="83" t="s">
        <v>552</v>
      </c>
      <c r="AA150" s="2" t="s">
        <v>1031</v>
      </c>
      <c r="AB150" s="85">
        <v>6.8</v>
      </c>
      <c r="AC150" s="85">
        <v>1.7</v>
      </c>
    </row>
    <row r="151" spans="1:29" x14ac:dyDescent="0.25">
      <c r="A151" s="2" t="s">
        <v>276</v>
      </c>
      <c r="B151" s="2">
        <v>506</v>
      </c>
      <c r="E151" s="2">
        <v>2021</v>
      </c>
      <c r="F151" s="2" t="s">
        <v>150</v>
      </c>
      <c r="G151" s="2" t="s">
        <v>151</v>
      </c>
      <c r="H151" s="83">
        <v>7.5999999999999998E-2</v>
      </c>
      <c r="J151" s="2" t="s">
        <v>630</v>
      </c>
      <c r="K151" s="83">
        <v>0.28999999999999998</v>
      </c>
      <c r="L151" s="83" t="s">
        <v>552</v>
      </c>
      <c r="M151" s="83" t="s">
        <v>552</v>
      </c>
      <c r="N151" s="83" t="s">
        <v>552</v>
      </c>
      <c r="T151" s="2" t="s">
        <v>779</v>
      </c>
      <c r="U151" s="2">
        <v>2.5</v>
      </c>
      <c r="V151" s="2">
        <v>182</v>
      </c>
      <c r="W151" s="83" t="s">
        <v>552</v>
      </c>
      <c r="X151" s="83" t="s">
        <v>552</v>
      </c>
      <c r="Y151" s="83" t="s">
        <v>552</v>
      </c>
      <c r="AA151" s="2" t="s">
        <v>1038</v>
      </c>
      <c r="AB151" s="85">
        <f>18.2/1.5</f>
        <v>12.133333333333333</v>
      </c>
      <c r="AC151" s="85">
        <f>AB151*0.25</f>
        <v>3.0333333333333332</v>
      </c>
    </row>
    <row r="152" spans="1:29" x14ac:dyDescent="0.25">
      <c r="A152" s="2"/>
      <c r="E152" s="2">
        <v>2022</v>
      </c>
      <c r="F152" s="2" t="s">
        <v>150</v>
      </c>
      <c r="G152" s="2" t="s">
        <v>151</v>
      </c>
      <c r="H152" s="83">
        <v>5.7000000000000002E-2</v>
      </c>
      <c r="J152" s="2" t="s">
        <v>627</v>
      </c>
      <c r="K152" s="83">
        <v>0.3</v>
      </c>
      <c r="L152" s="83" t="s">
        <v>552</v>
      </c>
      <c r="M152" s="83" t="s">
        <v>552</v>
      </c>
      <c r="N152" s="83" t="s">
        <v>552</v>
      </c>
      <c r="T152" s="2" t="s">
        <v>780</v>
      </c>
      <c r="U152" s="2">
        <v>2.5</v>
      </c>
      <c r="V152" s="2">
        <v>221</v>
      </c>
      <c r="W152" s="83" t="s">
        <v>552</v>
      </c>
      <c r="X152" s="83" t="s">
        <v>552</v>
      </c>
      <c r="Y152" s="83" t="s">
        <v>552</v>
      </c>
      <c r="AA152" s="2" t="s">
        <v>1030</v>
      </c>
      <c r="AB152" s="85">
        <f>11/1.5</f>
        <v>7.333333333333333</v>
      </c>
      <c r="AC152" s="85">
        <f>AB152*0.25</f>
        <v>1.8333333333333333</v>
      </c>
    </row>
    <row r="153" spans="1:29" ht="18" x14ac:dyDescent="0.35">
      <c r="A153" s="2"/>
      <c r="B153" s="79" t="s">
        <v>532</v>
      </c>
      <c r="E153" s="2">
        <v>2020</v>
      </c>
      <c r="F153" s="2" t="s">
        <v>165</v>
      </c>
      <c r="G153" s="2" t="s">
        <v>166</v>
      </c>
      <c r="H153" s="83">
        <v>1E-3</v>
      </c>
      <c r="J153" s="2" t="s">
        <v>624</v>
      </c>
      <c r="K153" s="83">
        <v>0.20899999999999999</v>
      </c>
      <c r="L153" s="83" t="s">
        <v>552</v>
      </c>
      <c r="M153" s="83" t="s">
        <v>552</v>
      </c>
      <c r="N153" s="83" t="s">
        <v>552</v>
      </c>
      <c r="T153" s="2" t="s">
        <v>781</v>
      </c>
      <c r="U153" s="2">
        <v>2.5</v>
      </c>
      <c r="V153" s="2">
        <v>11</v>
      </c>
      <c r="W153" s="83" t="s">
        <v>552</v>
      </c>
      <c r="X153" s="83" t="s">
        <v>552</v>
      </c>
      <c r="Y153" s="83" t="s">
        <v>552</v>
      </c>
      <c r="AA153" s="2" t="s">
        <v>1051</v>
      </c>
      <c r="AB153" s="85">
        <f>7.4/1.5</f>
        <v>4.9333333333333336</v>
      </c>
      <c r="AC153" s="85">
        <f>AB153*0.25</f>
        <v>1.2333333333333334</v>
      </c>
    </row>
    <row r="154" spans="1:29" x14ac:dyDescent="0.25">
      <c r="A154" s="2" t="s">
        <v>533</v>
      </c>
      <c r="B154" s="2">
        <v>60</v>
      </c>
      <c r="E154" s="2">
        <v>2021</v>
      </c>
      <c r="F154" s="2" t="s">
        <v>165</v>
      </c>
      <c r="G154" s="2" t="s">
        <v>166</v>
      </c>
      <c r="H154" s="83">
        <v>8.0000000000000002E-3</v>
      </c>
      <c r="J154" s="2" t="s">
        <v>625</v>
      </c>
      <c r="K154" s="83">
        <v>0.5</v>
      </c>
      <c r="L154" s="83" t="s">
        <v>552</v>
      </c>
      <c r="M154" s="83" t="s">
        <v>552</v>
      </c>
      <c r="N154" s="83" t="s">
        <v>552</v>
      </c>
      <c r="T154" s="2" t="s">
        <v>782</v>
      </c>
      <c r="U154" s="2">
        <v>2.5</v>
      </c>
      <c r="V154" s="2">
        <v>27</v>
      </c>
      <c r="W154" s="83" t="s">
        <v>552</v>
      </c>
      <c r="X154" s="83" t="s">
        <v>552</v>
      </c>
      <c r="Y154" s="83" t="s">
        <v>552</v>
      </c>
      <c r="AA154" s="2" t="s">
        <v>1033</v>
      </c>
      <c r="AB154" s="85">
        <v>6.8</v>
      </c>
      <c r="AC154" s="85">
        <v>1.7</v>
      </c>
    </row>
    <row r="155" spans="1:29" x14ac:dyDescent="0.25">
      <c r="E155" s="2">
        <v>2020</v>
      </c>
      <c r="F155" s="2" t="s">
        <v>187</v>
      </c>
      <c r="G155" s="2" t="s">
        <v>188</v>
      </c>
      <c r="H155" s="83">
        <v>7.5999999999999998E-2</v>
      </c>
      <c r="J155" s="2" t="s">
        <v>626</v>
      </c>
      <c r="K155" s="83">
        <v>0.8</v>
      </c>
      <c r="L155" s="83" t="s">
        <v>552</v>
      </c>
      <c r="M155" s="83" t="s">
        <v>552</v>
      </c>
      <c r="N155" s="83" t="s">
        <v>552</v>
      </c>
      <c r="T155" s="2" t="s">
        <v>783</v>
      </c>
      <c r="U155" s="2">
        <v>2.5</v>
      </c>
      <c r="V155" s="2">
        <v>63</v>
      </c>
      <c r="W155" s="83" t="s">
        <v>552</v>
      </c>
      <c r="X155" s="83" t="s">
        <v>552</v>
      </c>
      <c r="Y155" s="83" t="s">
        <v>552</v>
      </c>
      <c r="AA155" s="2" t="s">
        <v>1041</v>
      </c>
      <c r="AB155" s="85">
        <f>31.8/1.5</f>
        <v>21.2</v>
      </c>
      <c r="AC155" s="85">
        <f>AB155*0.25</f>
        <v>5.3</v>
      </c>
    </row>
    <row r="156" spans="1:29" x14ac:dyDescent="0.25">
      <c r="E156" s="2">
        <v>2021</v>
      </c>
      <c r="F156" s="2" t="s">
        <v>187</v>
      </c>
      <c r="G156" s="2" t="s">
        <v>188</v>
      </c>
      <c r="H156" s="83">
        <v>5.8999999999999997E-2</v>
      </c>
      <c r="J156" s="2" t="s">
        <v>623</v>
      </c>
      <c r="K156" s="83">
        <v>0.96</v>
      </c>
      <c r="L156" s="83" t="s">
        <v>552</v>
      </c>
      <c r="M156" s="83" t="s">
        <v>552</v>
      </c>
      <c r="N156" s="83" t="s">
        <v>552</v>
      </c>
      <c r="T156" s="2" t="s">
        <v>784</v>
      </c>
      <c r="U156" s="2">
        <v>2.5</v>
      </c>
      <c r="V156" s="2">
        <v>11</v>
      </c>
      <c r="W156" s="83" t="s">
        <v>552</v>
      </c>
      <c r="X156" s="83" t="s">
        <v>552</v>
      </c>
      <c r="Y156" s="83" t="s">
        <v>552</v>
      </c>
      <c r="AA156" s="2" t="s">
        <v>1043</v>
      </c>
      <c r="AB156" s="85">
        <f>22/1.5</f>
        <v>14.666666666666666</v>
      </c>
      <c r="AC156" s="85">
        <f>AB156*0.25</f>
        <v>3.6666666666666665</v>
      </c>
    </row>
    <row r="157" spans="1:29" x14ac:dyDescent="0.25">
      <c r="E157" s="2">
        <v>2020</v>
      </c>
      <c r="F157" s="2" t="s">
        <v>225</v>
      </c>
      <c r="G157" s="2" t="s">
        <v>160</v>
      </c>
      <c r="H157" s="83">
        <v>6.3E-2</v>
      </c>
      <c r="J157" s="2" t="s">
        <v>621</v>
      </c>
      <c r="K157" s="83">
        <v>0.39</v>
      </c>
      <c r="L157" s="83" t="s">
        <v>552</v>
      </c>
      <c r="M157" s="83" t="s">
        <v>552</v>
      </c>
      <c r="N157" s="83" t="s">
        <v>552</v>
      </c>
      <c r="T157" s="2" t="s">
        <v>785</v>
      </c>
      <c r="U157" s="2">
        <v>2.5</v>
      </c>
      <c r="V157" s="2">
        <v>27</v>
      </c>
      <c r="W157" s="83" t="s">
        <v>552</v>
      </c>
      <c r="X157" s="83" t="s">
        <v>552</v>
      </c>
      <c r="Y157" s="83" t="s">
        <v>552</v>
      </c>
      <c r="AA157" s="2" t="s">
        <v>1050</v>
      </c>
      <c r="AB157" s="85">
        <f>30.9/1.5</f>
        <v>20.599999999999998</v>
      </c>
      <c r="AC157" s="85">
        <f>AB157*0.25</f>
        <v>5.1499999999999995</v>
      </c>
    </row>
    <row r="158" spans="1:29" x14ac:dyDescent="0.25">
      <c r="E158" s="2">
        <v>2021</v>
      </c>
      <c r="F158" s="2" t="s">
        <v>225</v>
      </c>
      <c r="G158" s="2" t="s">
        <v>160</v>
      </c>
      <c r="H158" s="83">
        <v>7.8E-2</v>
      </c>
      <c r="J158" s="2" t="s">
        <v>622</v>
      </c>
      <c r="K158" s="83">
        <v>0.55000000000000004</v>
      </c>
      <c r="L158" s="83" t="s">
        <v>552</v>
      </c>
      <c r="M158" s="83" t="s">
        <v>552</v>
      </c>
      <c r="N158" s="83" t="s">
        <v>552</v>
      </c>
      <c r="T158" s="2" t="s">
        <v>786</v>
      </c>
      <c r="U158" s="2">
        <v>2.5</v>
      </c>
      <c r="V158" s="2">
        <v>43</v>
      </c>
      <c r="W158" s="83" t="s">
        <v>552</v>
      </c>
      <c r="X158" s="83" t="s">
        <v>552</v>
      </c>
      <c r="Y158" s="83" t="s">
        <v>552</v>
      </c>
    </row>
    <row r="159" spans="1:29" ht="18.75" thickBot="1" x14ac:dyDescent="0.4">
      <c r="E159" s="2">
        <v>2020</v>
      </c>
      <c r="F159" s="2" t="s">
        <v>148</v>
      </c>
      <c r="G159" s="2" t="s">
        <v>149</v>
      </c>
      <c r="H159" s="83">
        <v>0.05</v>
      </c>
      <c r="J159" s="2" t="s">
        <v>631</v>
      </c>
      <c r="K159" s="83">
        <v>0.35</v>
      </c>
      <c r="L159" s="83" t="s">
        <v>552</v>
      </c>
      <c r="M159" s="83" t="s">
        <v>552</v>
      </c>
      <c r="N159" s="83" t="s">
        <v>552</v>
      </c>
      <c r="T159" s="2" t="s">
        <v>787</v>
      </c>
      <c r="U159" s="2">
        <v>2.5</v>
      </c>
      <c r="V159" s="2">
        <v>57</v>
      </c>
      <c r="W159" s="83" t="s">
        <v>552</v>
      </c>
      <c r="X159" s="83" t="s">
        <v>552</v>
      </c>
      <c r="Y159" s="83" t="s">
        <v>552</v>
      </c>
      <c r="AA159" s="86" t="s">
        <v>1091</v>
      </c>
      <c r="AB159" s="86" t="s">
        <v>1028</v>
      </c>
      <c r="AC159" s="86" t="s">
        <v>1029</v>
      </c>
    </row>
    <row r="160" spans="1:29" x14ac:dyDescent="0.25">
      <c r="E160" s="2">
        <v>2021</v>
      </c>
      <c r="F160" s="2" t="s">
        <v>148</v>
      </c>
      <c r="G160" s="2" t="s">
        <v>149</v>
      </c>
      <c r="H160" s="83">
        <v>5.8000000000000003E-2</v>
      </c>
      <c r="J160" s="2" t="s">
        <v>634</v>
      </c>
      <c r="K160" s="83">
        <v>0.4</v>
      </c>
      <c r="L160" s="83" t="s">
        <v>552</v>
      </c>
      <c r="M160" s="83" t="s">
        <v>552</v>
      </c>
      <c r="N160" s="83" t="s">
        <v>552</v>
      </c>
      <c r="T160" s="2" t="s">
        <v>752</v>
      </c>
      <c r="U160" s="83">
        <v>2.2999999999999998</v>
      </c>
      <c r="V160" s="83" t="s">
        <v>552</v>
      </c>
      <c r="W160" s="83" t="s">
        <v>552</v>
      </c>
      <c r="X160" s="83" t="s">
        <v>552</v>
      </c>
      <c r="Y160" s="83" t="s">
        <v>552</v>
      </c>
      <c r="AA160" s="103"/>
      <c r="AB160" s="103"/>
      <c r="AC160" s="103"/>
    </row>
    <row r="161" spans="5:29" x14ac:dyDescent="0.25">
      <c r="E161" s="2">
        <v>2021</v>
      </c>
      <c r="F161" s="2" t="s">
        <v>144</v>
      </c>
      <c r="G161" s="2" t="s">
        <v>145</v>
      </c>
      <c r="H161" s="83">
        <v>8.9999999999999993E-3</v>
      </c>
      <c r="J161" s="2" t="s">
        <v>632</v>
      </c>
      <c r="K161" s="83">
        <v>0.55000000000000004</v>
      </c>
      <c r="L161" s="83" t="s">
        <v>552</v>
      </c>
      <c r="M161" s="83" t="s">
        <v>552</v>
      </c>
      <c r="N161" s="83" t="s">
        <v>552</v>
      </c>
      <c r="T161" s="2" t="s">
        <v>754</v>
      </c>
      <c r="U161" s="83">
        <v>2.5</v>
      </c>
      <c r="V161" s="83" t="s">
        <v>552</v>
      </c>
      <c r="W161" s="83" t="s">
        <v>552</v>
      </c>
      <c r="X161" s="83" t="s">
        <v>552</v>
      </c>
      <c r="Y161" s="83" t="s">
        <v>552</v>
      </c>
      <c r="AA161" s="2" t="s">
        <v>1053</v>
      </c>
      <c r="AB161" s="85">
        <f>50/1.5</f>
        <v>33.333333333333336</v>
      </c>
      <c r="AC161" s="85">
        <f t="shared" ref="AC161:AC199" si="0">AB161*0.25</f>
        <v>8.3333333333333339</v>
      </c>
    </row>
    <row r="162" spans="5:29" x14ac:dyDescent="0.25">
      <c r="E162" s="2">
        <v>2022</v>
      </c>
      <c r="F162" s="2" t="s">
        <v>144</v>
      </c>
      <c r="G162" s="2" t="s">
        <v>145</v>
      </c>
      <c r="H162" s="83">
        <v>7.0000000000000001E-3</v>
      </c>
      <c r="J162" s="2" t="s">
        <v>635</v>
      </c>
      <c r="K162" s="83">
        <v>0.3</v>
      </c>
      <c r="L162" s="83" t="s">
        <v>552</v>
      </c>
      <c r="M162" s="83" t="s">
        <v>552</v>
      </c>
      <c r="N162" s="83" t="s">
        <v>552</v>
      </c>
      <c r="T162" s="2" t="s">
        <v>737</v>
      </c>
      <c r="U162" s="2">
        <v>0.56000000000000005</v>
      </c>
      <c r="V162" s="83" t="s">
        <v>552</v>
      </c>
      <c r="W162" s="83" t="s">
        <v>552</v>
      </c>
      <c r="X162" s="83" t="s">
        <v>552</v>
      </c>
      <c r="Y162" s="83" t="s">
        <v>552</v>
      </c>
      <c r="AA162" s="2" t="s">
        <v>1054</v>
      </c>
      <c r="AB162" s="85">
        <f>38.9/1.5</f>
        <v>25.933333333333334</v>
      </c>
      <c r="AC162" s="85">
        <f t="shared" si="0"/>
        <v>6.4833333333333334</v>
      </c>
    </row>
    <row r="163" spans="5:29" x14ac:dyDescent="0.25">
      <c r="E163" s="2">
        <v>2020</v>
      </c>
      <c r="F163" s="2" t="s">
        <v>226</v>
      </c>
      <c r="G163" s="2" t="s">
        <v>227</v>
      </c>
      <c r="H163" s="83">
        <v>0.26900000000000002</v>
      </c>
      <c r="J163" s="2" t="s">
        <v>633</v>
      </c>
      <c r="K163" s="83">
        <v>0.4</v>
      </c>
      <c r="L163" s="83" t="s">
        <v>552</v>
      </c>
      <c r="M163" s="83" t="s">
        <v>552</v>
      </c>
      <c r="N163" s="83" t="s">
        <v>552</v>
      </c>
      <c r="W163" s="83"/>
      <c r="AA163" s="2" t="s">
        <v>1055</v>
      </c>
      <c r="AB163" s="85">
        <f>14.9/1.5</f>
        <v>9.9333333333333336</v>
      </c>
      <c r="AC163" s="85">
        <f t="shared" si="0"/>
        <v>2.4833333333333334</v>
      </c>
    </row>
    <row r="164" spans="5:29" x14ac:dyDescent="0.25">
      <c r="E164" s="2">
        <v>2021</v>
      </c>
      <c r="F164" s="2" t="s">
        <v>226</v>
      </c>
      <c r="G164" s="2" t="s">
        <v>227</v>
      </c>
      <c r="H164" s="83">
        <v>0.26100000000000001</v>
      </c>
      <c r="L164" s="83"/>
      <c r="M164" s="83"/>
      <c r="N164" s="83"/>
      <c r="T164" s="79" t="s">
        <v>788</v>
      </c>
      <c r="U164" s="83"/>
      <c r="V164" s="83"/>
      <c r="W164" s="83"/>
      <c r="X164" s="83"/>
      <c r="AA164" s="2" t="s">
        <v>1056</v>
      </c>
      <c r="AB164" s="85">
        <f>17.1/1.5</f>
        <v>11.4</v>
      </c>
      <c r="AC164" s="85">
        <f t="shared" si="0"/>
        <v>2.85</v>
      </c>
    </row>
    <row r="165" spans="5:29" x14ac:dyDescent="0.25">
      <c r="E165" s="2">
        <v>2020</v>
      </c>
      <c r="F165" s="2" t="s">
        <v>216</v>
      </c>
      <c r="G165" s="2" t="s">
        <v>217</v>
      </c>
      <c r="H165" s="83">
        <v>0.24399999999999999</v>
      </c>
      <c r="J165" s="79" t="s">
        <v>734</v>
      </c>
      <c r="L165" s="83"/>
      <c r="M165" s="83"/>
      <c r="N165" s="83"/>
      <c r="T165" s="79"/>
      <c r="U165" s="83"/>
      <c r="V165" s="83"/>
      <c r="W165" s="83"/>
      <c r="X165" s="83"/>
      <c r="AA165" s="2" t="s">
        <v>1057</v>
      </c>
      <c r="AB165" s="85">
        <f>30.8/1.5</f>
        <v>20.533333333333335</v>
      </c>
      <c r="AC165" s="85">
        <f t="shared" si="0"/>
        <v>5.1333333333333337</v>
      </c>
    </row>
    <row r="166" spans="5:29" x14ac:dyDescent="0.25">
      <c r="E166" s="2">
        <v>2021</v>
      </c>
      <c r="F166" s="2" t="s">
        <v>216</v>
      </c>
      <c r="G166" s="2" t="s">
        <v>217</v>
      </c>
      <c r="H166" s="83">
        <v>0.16400000000000001</v>
      </c>
      <c r="J166" s="79"/>
      <c r="L166" s="83"/>
      <c r="M166" s="83"/>
      <c r="N166" s="83"/>
      <c r="T166" s="2" t="s">
        <v>790</v>
      </c>
      <c r="U166" s="2">
        <v>0.17</v>
      </c>
      <c r="V166" s="83" t="s">
        <v>552</v>
      </c>
      <c r="W166" s="83" t="s">
        <v>552</v>
      </c>
      <c r="X166" s="83" t="s">
        <v>552</v>
      </c>
      <c r="Y166" s="83" t="s">
        <v>552</v>
      </c>
      <c r="AA166" s="2" t="s">
        <v>1060</v>
      </c>
      <c r="AB166" s="85">
        <f>7/1.5</f>
        <v>4.666666666666667</v>
      </c>
      <c r="AC166" s="85">
        <f t="shared" si="0"/>
        <v>1.1666666666666667</v>
      </c>
    </row>
    <row r="167" spans="5:29" x14ac:dyDescent="0.25">
      <c r="E167" s="2">
        <v>2020</v>
      </c>
      <c r="F167" s="2" t="s">
        <v>159</v>
      </c>
      <c r="G167" s="2" t="s">
        <v>160</v>
      </c>
      <c r="H167" s="83">
        <v>7.4999999999999997E-2</v>
      </c>
      <c r="J167" s="2" t="s">
        <v>636</v>
      </c>
      <c r="K167" s="83">
        <v>0.28599999999999998</v>
      </c>
      <c r="L167" s="83" t="s">
        <v>552</v>
      </c>
      <c r="M167" s="83" t="s">
        <v>552</v>
      </c>
      <c r="N167" s="83" t="s">
        <v>552</v>
      </c>
      <c r="T167" s="2" t="s">
        <v>802</v>
      </c>
      <c r="U167" s="2">
        <v>7.2999999999999995E-2</v>
      </c>
      <c r="V167" s="83" t="s">
        <v>552</v>
      </c>
      <c r="W167" s="83" t="s">
        <v>552</v>
      </c>
      <c r="X167" s="83" t="s">
        <v>552</v>
      </c>
      <c r="Y167" s="83" t="s">
        <v>552</v>
      </c>
      <c r="AA167" s="2" t="s">
        <v>1061</v>
      </c>
      <c r="AB167" s="85">
        <f>54/1.5</f>
        <v>36</v>
      </c>
      <c r="AC167" s="85">
        <f t="shared" si="0"/>
        <v>9</v>
      </c>
    </row>
    <row r="168" spans="5:29" x14ac:dyDescent="0.25">
      <c r="E168" s="2">
        <v>2021</v>
      </c>
      <c r="F168" s="2" t="s">
        <v>159</v>
      </c>
      <c r="G168" s="2" t="s">
        <v>160</v>
      </c>
      <c r="H168" s="83">
        <v>2.5999999999999999E-2</v>
      </c>
      <c r="J168" s="2" t="s">
        <v>637</v>
      </c>
      <c r="K168" s="83">
        <v>0.39100000000000001</v>
      </c>
      <c r="L168" s="83" t="s">
        <v>552</v>
      </c>
      <c r="M168" s="83" t="s">
        <v>552</v>
      </c>
      <c r="N168" s="83" t="s">
        <v>552</v>
      </c>
      <c r="T168" s="2" t="s">
        <v>792</v>
      </c>
      <c r="U168" s="83">
        <v>0.34</v>
      </c>
      <c r="V168" s="83" t="s">
        <v>552</v>
      </c>
      <c r="W168" s="83" t="s">
        <v>552</v>
      </c>
      <c r="X168" s="83" t="s">
        <v>552</v>
      </c>
      <c r="Y168" s="83" t="s">
        <v>552</v>
      </c>
      <c r="AA168" s="2" t="s">
        <v>1072</v>
      </c>
      <c r="AB168" s="85">
        <f>56.6/1.5</f>
        <v>37.733333333333334</v>
      </c>
      <c r="AC168" s="85">
        <f t="shared" si="0"/>
        <v>9.4333333333333336</v>
      </c>
    </row>
    <row r="169" spans="5:29" x14ac:dyDescent="0.25">
      <c r="E169" s="2">
        <v>2020</v>
      </c>
      <c r="F169" s="2" t="s">
        <v>171</v>
      </c>
      <c r="G169" s="2" t="s">
        <v>172</v>
      </c>
      <c r="H169" s="83">
        <v>0.33200000000000002</v>
      </c>
      <c r="J169" s="2" t="s">
        <v>638</v>
      </c>
      <c r="K169" s="83">
        <v>0.27300000000000002</v>
      </c>
      <c r="L169" s="83" t="s">
        <v>552</v>
      </c>
      <c r="M169" s="83" t="s">
        <v>552</v>
      </c>
      <c r="N169" s="83" t="s">
        <v>552</v>
      </c>
      <c r="T169" s="2" t="s">
        <v>797</v>
      </c>
      <c r="U169" s="2">
        <v>0.14000000000000001</v>
      </c>
      <c r="V169" s="83" t="s">
        <v>552</v>
      </c>
      <c r="W169" s="83" t="s">
        <v>552</v>
      </c>
      <c r="X169" s="83" t="s">
        <v>552</v>
      </c>
      <c r="Y169" s="83" t="s">
        <v>552</v>
      </c>
      <c r="AA169" s="2" t="s">
        <v>1071</v>
      </c>
      <c r="AB169" s="85">
        <f>56.5/1.5</f>
        <v>37.666666666666664</v>
      </c>
      <c r="AC169" s="85">
        <f t="shared" si="0"/>
        <v>9.4166666666666661</v>
      </c>
    </row>
    <row r="170" spans="5:29" x14ac:dyDescent="0.25">
      <c r="E170" s="2">
        <v>2021</v>
      </c>
      <c r="F170" s="2" t="s">
        <v>171</v>
      </c>
      <c r="G170" s="2" t="s">
        <v>172</v>
      </c>
      <c r="H170" s="83">
        <v>0.25600000000000001</v>
      </c>
      <c r="J170" s="2" t="s">
        <v>639</v>
      </c>
      <c r="K170" s="83">
        <v>0.159</v>
      </c>
      <c r="L170" s="83" t="s">
        <v>552</v>
      </c>
      <c r="M170" s="83" t="s">
        <v>552</v>
      </c>
      <c r="N170" s="83" t="s">
        <v>552</v>
      </c>
      <c r="T170" s="2" t="s">
        <v>798</v>
      </c>
      <c r="U170" s="2">
        <v>0.17</v>
      </c>
      <c r="V170" s="83" t="s">
        <v>552</v>
      </c>
      <c r="W170" s="83" t="s">
        <v>552</v>
      </c>
      <c r="X170" s="83" t="s">
        <v>552</v>
      </c>
      <c r="Y170" s="83" t="s">
        <v>552</v>
      </c>
      <c r="AA170" s="2" t="s">
        <v>1063</v>
      </c>
      <c r="AB170" s="85">
        <f>54.8/1.5</f>
        <v>36.533333333333331</v>
      </c>
      <c r="AC170" s="85">
        <f t="shared" si="0"/>
        <v>9.1333333333333329</v>
      </c>
    </row>
    <row r="171" spans="5:29" x14ac:dyDescent="0.25">
      <c r="E171" s="2">
        <v>2022</v>
      </c>
      <c r="F171" s="2" t="s">
        <v>171</v>
      </c>
      <c r="G171" s="2" t="s">
        <v>172</v>
      </c>
      <c r="H171" s="83">
        <v>0.29299999999999998</v>
      </c>
      <c r="J171" s="2" t="s">
        <v>671</v>
      </c>
      <c r="K171" s="83">
        <v>0.153</v>
      </c>
      <c r="L171" s="83" t="s">
        <v>552</v>
      </c>
      <c r="M171" s="83" t="s">
        <v>552</v>
      </c>
      <c r="N171" s="83" t="s">
        <v>552</v>
      </c>
      <c r="T171" s="2" t="s">
        <v>815</v>
      </c>
      <c r="U171" s="2">
        <v>0.39</v>
      </c>
      <c r="V171" s="2">
        <v>0.39</v>
      </c>
      <c r="W171" s="83" t="s">
        <v>552</v>
      </c>
      <c r="X171" s="83" t="s">
        <v>552</v>
      </c>
      <c r="Y171" s="83" t="s">
        <v>552</v>
      </c>
      <c r="AA171" s="2" t="s">
        <v>1062</v>
      </c>
      <c r="AB171" s="85">
        <f>62.9/1.5</f>
        <v>41.93333333333333</v>
      </c>
      <c r="AC171" s="85">
        <f t="shared" si="0"/>
        <v>10.483333333333333</v>
      </c>
    </row>
    <row r="172" spans="5:29" x14ac:dyDescent="0.25">
      <c r="E172" s="2">
        <v>2020</v>
      </c>
      <c r="F172" s="2" t="s">
        <v>203</v>
      </c>
      <c r="G172" s="2" t="s">
        <v>117</v>
      </c>
      <c r="H172" s="83">
        <v>1.9E-2</v>
      </c>
      <c r="J172" s="2" t="s">
        <v>672</v>
      </c>
      <c r="K172" s="83">
        <v>0.153</v>
      </c>
      <c r="L172" s="83" t="s">
        <v>552</v>
      </c>
      <c r="M172" s="83" t="s">
        <v>552</v>
      </c>
      <c r="N172" s="83" t="s">
        <v>552</v>
      </c>
      <c r="T172" s="2" t="s">
        <v>791</v>
      </c>
      <c r="U172" s="2">
        <v>0.11</v>
      </c>
      <c r="V172" s="83" t="s">
        <v>552</v>
      </c>
      <c r="W172" s="83" t="s">
        <v>552</v>
      </c>
      <c r="X172" s="83" t="s">
        <v>552</v>
      </c>
      <c r="Y172" s="83" t="s">
        <v>552</v>
      </c>
      <c r="AA172" s="2" t="s">
        <v>1064</v>
      </c>
      <c r="AB172" s="85">
        <f>66.2/1.5</f>
        <v>44.133333333333333</v>
      </c>
      <c r="AC172" s="85">
        <f t="shared" si="0"/>
        <v>11.033333333333333</v>
      </c>
    </row>
    <row r="173" spans="5:29" x14ac:dyDescent="0.25">
      <c r="E173" s="2">
        <v>2021</v>
      </c>
      <c r="F173" s="2" t="s">
        <v>203</v>
      </c>
      <c r="G173" s="2" t="s">
        <v>117</v>
      </c>
      <c r="H173" s="83">
        <v>2.3E-2</v>
      </c>
      <c r="J173" s="2" t="s">
        <v>641</v>
      </c>
      <c r="K173" s="83">
        <v>0.13700000000000001</v>
      </c>
      <c r="L173" s="83" t="s">
        <v>552</v>
      </c>
      <c r="M173" s="83" t="s">
        <v>552</v>
      </c>
      <c r="N173" s="83" t="s">
        <v>552</v>
      </c>
      <c r="T173" s="2" t="s">
        <v>800</v>
      </c>
      <c r="U173" s="83">
        <v>0.3</v>
      </c>
      <c r="V173" s="83" t="s">
        <v>552</v>
      </c>
      <c r="W173" s="83" t="s">
        <v>552</v>
      </c>
      <c r="X173" s="83" t="s">
        <v>552</v>
      </c>
      <c r="Y173" s="83" t="s">
        <v>552</v>
      </c>
      <c r="AA173" s="2" t="s">
        <v>1066</v>
      </c>
      <c r="AB173" s="85">
        <f>88.2/1.5</f>
        <v>58.800000000000004</v>
      </c>
      <c r="AC173" s="85">
        <f t="shared" si="0"/>
        <v>14.700000000000001</v>
      </c>
    </row>
    <row r="174" spans="5:29" x14ac:dyDescent="0.25">
      <c r="E174" s="2">
        <v>2020</v>
      </c>
      <c r="F174" s="2" t="s">
        <v>222</v>
      </c>
      <c r="G174" s="2" t="s">
        <v>183</v>
      </c>
      <c r="H174" s="83">
        <v>0.23799999999999999</v>
      </c>
      <c r="J174" s="2" t="s">
        <v>640</v>
      </c>
      <c r="K174" s="83">
        <v>0.13500000000000001</v>
      </c>
      <c r="L174" s="83" t="s">
        <v>552</v>
      </c>
      <c r="M174" s="83" t="s">
        <v>552</v>
      </c>
      <c r="N174" s="83" t="s">
        <v>552</v>
      </c>
      <c r="T174" s="2" t="s">
        <v>799</v>
      </c>
      <c r="U174" s="83">
        <v>0.3</v>
      </c>
      <c r="V174" s="83" t="s">
        <v>552</v>
      </c>
      <c r="W174" s="83" t="s">
        <v>552</v>
      </c>
      <c r="X174" s="83" t="s">
        <v>552</v>
      </c>
      <c r="Y174" s="83" t="s">
        <v>552</v>
      </c>
      <c r="AA174" s="2" t="s">
        <v>1065</v>
      </c>
      <c r="AB174" s="85">
        <f>66/1.5</f>
        <v>44</v>
      </c>
      <c r="AC174" s="85">
        <f t="shared" si="0"/>
        <v>11</v>
      </c>
    </row>
    <row r="175" spans="5:29" x14ac:dyDescent="0.25">
      <c r="E175" s="2">
        <v>2021</v>
      </c>
      <c r="F175" s="2" t="s">
        <v>222</v>
      </c>
      <c r="G175" s="2" t="s">
        <v>183</v>
      </c>
      <c r="H175" s="83">
        <v>0.17100000000000001</v>
      </c>
      <c r="J175" s="2" t="s">
        <v>642</v>
      </c>
      <c r="K175" s="83">
        <v>0.16800000000000001</v>
      </c>
      <c r="L175" s="84">
        <v>26.3</v>
      </c>
      <c r="M175" s="83" t="s">
        <v>552</v>
      </c>
      <c r="N175" s="83" t="s">
        <v>552</v>
      </c>
      <c r="T175" s="2" t="s">
        <v>793</v>
      </c>
      <c r="U175" s="85">
        <v>1</v>
      </c>
      <c r="V175" s="83" t="s">
        <v>552</v>
      </c>
      <c r="W175" s="83" t="s">
        <v>552</v>
      </c>
      <c r="X175" s="83" t="s">
        <v>552</v>
      </c>
      <c r="Y175" s="83" t="s">
        <v>552</v>
      </c>
      <c r="AA175" s="2" t="s">
        <v>1067</v>
      </c>
      <c r="AB175" s="85">
        <f>51.8/1.5</f>
        <v>34.533333333333331</v>
      </c>
      <c r="AC175" s="85">
        <f t="shared" si="0"/>
        <v>8.6333333333333329</v>
      </c>
    </row>
    <row r="176" spans="5:29" x14ac:dyDescent="0.25">
      <c r="E176" s="2">
        <v>2022</v>
      </c>
      <c r="F176" s="2" t="s">
        <v>222</v>
      </c>
      <c r="G176" s="2" t="s">
        <v>183</v>
      </c>
      <c r="H176" s="83">
        <v>0.16400000000000001</v>
      </c>
      <c r="J176" s="2" t="s">
        <v>643</v>
      </c>
      <c r="K176" s="83">
        <v>0.161</v>
      </c>
      <c r="L176" s="84">
        <v>36.6</v>
      </c>
      <c r="M176" s="83" t="s">
        <v>552</v>
      </c>
      <c r="N176" s="83" t="s">
        <v>552</v>
      </c>
      <c r="T176" s="2" t="s">
        <v>794</v>
      </c>
      <c r="U176" s="85">
        <v>1</v>
      </c>
      <c r="V176" s="83" t="s">
        <v>552</v>
      </c>
      <c r="W176" s="83" t="s">
        <v>552</v>
      </c>
      <c r="X176" s="83" t="s">
        <v>552</v>
      </c>
      <c r="Y176" s="83" t="s">
        <v>552</v>
      </c>
      <c r="AA176" s="2" t="s">
        <v>1068</v>
      </c>
      <c r="AB176" s="85">
        <f>54.7/1.5</f>
        <v>36.466666666666669</v>
      </c>
      <c r="AC176" s="85">
        <f t="shared" si="0"/>
        <v>9.1166666666666671</v>
      </c>
    </row>
    <row r="177" spans="5:29" x14ac:dyDescent="0.25">
      <c r="E177" s="2">
        <v>2020</v>
      </c>
      <c r="F177" s="2" t="s">
        <v>154</v>
      </c>
      <c r="G177" s="2" t="s">
        <v>155</v>
      </c>
      <c r="H177" s="83">
        <v>0.16500000000000001</v>
      </c>
      <c r="J177" s="2" t="s">
        <v>644</v>
      </c>
      <c r="K177" s="83">
        <v>0.16900000000000001</v>
      </c>
      <c r="L177" s="84">
        <v>52.1</v>
      </c>
      <c r="M177" s="83" t="s">
        <v>552</v>
      </c>
      <c r="N177" s="83" t="s">
        <v>552</v>
      </c>
      <c r="T177" s="2" t="s">
        <v>795</v>
      </c>
      <c r="U177" s="2">
        <v>0.75</v>
      </c>
      <c r="V177" s="83" t="s">
        <v>552</v>
      </c>
      <c r="W177" s="83" t="s">
        <v>552</v>
      </c>
      <c r="X177" s="83" t="s">
        <v>552</v>
      </c>
      <c r="Y177" s="83" t="s">
        <v>552</v>
      </c>
      <c r="AA177" s="2" t="s">
        <v>1069</v>
      </c>
      <c r="AB177" s="85">
        <f>64.5/1.5</f>
        <v>43</v>
      </c>
      <c r="AC177" s="85">
        <f t="shared" si="0"/>
        <v>10.75</v>
      </c>
    </row>
    <row r="178" spans="5:29" x14ac:dyDescent="0.25">
      <c r="E178" s="2">
        <v>2021</v>
      </c>
      <c r="F178" s="2" t="s">
        <v>154</v>
      </c>
      <c r="G178" s="2" t="s">
        <v>155</v>
      </c>
      <c r="H178" s="83">
        <v>0.16800000000000001</v>
      </c>
      <c r="J178" s="2" t="s">
        <v>658</v>
      </c>
      <c r="K178" s="83">
        <v>0.159</v>
      </c>
      <c r="L178" s="84">
        <v>214.7</v>
      </c>
      <c r="M178" s="83" t="s">
        <v>552</v>
      </c>
      <c r="N178" s="83" t="s">
        <v>552</v>
      </c>
      <c r="T178" s="2" t="s">
        <v>796</v>
      </c>
      <c r="U178" s="2">
        <v>0.75</v>
      </c>
      <c r="V178" s="83" t="s">
        <v>552</v>
      </c>
      <c r="W178" s="83" t="s">
        <v>552</v>
      </c>
      <c r="X178" s="83" t="s">
        <v>552</v>
      </c>
      <c r="Y178" s="83" t="s">
        <v>552</v>
      </c>
      <c r="AA178" s="2" t="s">
        <v>1070</v>
      </c>
      <c r="AB178" s="85">
        <f>105.7/1.5</f>
        <v>70.466666666666669</v>
      </c>
      <c r="AC178" s="85">
        <f t="shared" si="0"/>
        <v>17.616666666666667</v>
      </c>
    </row>
    <row r="179" spans="5:29" x14ac:dyDescent="0.25">
      <c r="E179" s="2">
        <v>2022</v>
      </c>
      <c r="F179" s="2" t="s">
        <v>154</v>
      </c>
      <c r="G179" s="2" t="s">
        <v>155</v>
      </c>
      <c r="H179" s="83">
        <v>0.14599999999999999</v>
      </c>
      <c r="J179" s="2" t="s">
        <v>659</v>
      </c>
      <c r="K179" s="83">
        <v>0.161</v>
      </c>
      <c r="L179" s="84">
        <v>217.4</v>
      </c>
      <c r="M179" s="83" t="s">
        <v>552</v>
      </c>
      <c r="N179" s="83" t="s">
        <v>552</v>
      </c>
      <c r="T179" s="2" t="s">
        <v>809</v>
      </c>
      <c r="U179" s="2">
        <v>6.9000000000000006E-2</v>
      </c>
      <c r="V179" s="2">
        <v>0.78</v>
      </c>
      <c r="W179" s="83" t="s">
        <v>552</v>
      </c>
      <c r="X179" s="83" t="s">
        <v>552</v>
      </c>
      <c r="Y179" s="83" t="s">
        <v>552</v>
      </c>
      <c r="AA179" s="2" t="s">
        <v>1058</v>
      </c>
      <c r="AB179" s="85">
        <f>60.7/1.5</f>
        <v>40.466666666666669</v>
      </c>
      <c r="AC179" s="85">
        <f t="shared" si="0"/>
        <v>10.116666666666667</v>
      </c>
    </row>
    <row r="180" spans="5:29" x14ac:dyDescent="0.25">
      <c r="E180" s="2">
        <v>2020</v>
      </c>
      <c r="F180" s="2" t="s">
        <v>196</v>
      </c>
      <c r="G180" s="2" t="s">
        <v>197</v>
      </c>
      <c r="H180" s="83">
        <v>0.254</v>
      </c>
      <c r="J180" s="2" t="s">
        <v>660</v>
      </c>
      <c r="K180" s="83">
        <v>0.16300000000000001</v>
      </c>
      <c r="L180" s="84">
        <v>281.10000000000002</v>
      </c>
      <c r="M180" s="83" t="s">
        <v>552</v>
      </c>
      <c r="N180" s="83" t="s">
        <v>552</v>
      </c>
      <c r="T180" s="2" t="s">
        <v>808</v>
      </c>
      <c r="U180" s="2">
        <v>6.9000000000000006E-2</v>
      </c>
      <c r="V180" s="2">
        <v>0.08</v>
      </c>
      <c r="W180" s="83" t="s">
        <v>552</v>
      </c>
      <c r="X180" s="83" t="s">
        <v>552</v>
      </c>
      <c r="Y180" s="83" t="s">
        <v>552</v>
      </c>
      <c r="AA180" s="2" t="s">
        <v>1059</v>
      </c>
      <c r="AB180" s="85">
        <f>11/1.5</f>
        <v>7.333333333333333</v>
      </c>
      <c r="AC180" s="85">
        <f t="shared" si="0"/>
        <v>1.8333333333333333</v>
      </c>
    </row>
    <row r="181" spans="5:29" x14ac:dyDescent="0.25">
      <c r="E181" s="2">
        <v>2021</v>
      </c>
      <c r="F181" s="2" t="s">
        <v>196</v>
      </c>
      <c r="G181" s="2" t="s">
        <v>197</v>
      </c>
      <c r="H181" s="83">
        <v>0.193</v>
      </c>
      <c r="J181" s="2" t="s">
        <v>661</v>
      </c>
      <c r="K181" s="83">
        <v>0.16500000000000001</v>
      </c>
      <c r="L181" s="84">
        <v>285</v>
      </c>
      <c r="M181" s="83" t="s">
        <v>552</v>
      </c>
      <c r="N181" s="83" t="s">
        <v>552</v>
      </c>
      <c r="T181" s="2" t="s">
        <v>816</v>
      </c>
      <c r="U181" s="2">
        <v>0.14000000000000001</v>
      </c>
      <c r="V181" s="2">
        <v>0.33</v>
      </c>
      <c r="W181" s="83" t="s">
        <v>552</v>
      </c>
      <c r="X181" s="83" t="s">
        <v>552</v>
      </c>
      <c r="Y181" s="83" t="s">
        <v>552</v>
      </c>
      <c r="AA181" s="2" t="s">
        <v>1073</v>
      </c>
      <c r="AB181" s="85">
        <f>68.1/1.5</f>
        <v>45.4</v>
      </c>
      <c r="AC181" s="85">
        <f t="shared" si="0"/>
        <v>11.35</v>
      </c>
    </row>
    <row r="182" spans="5:29" x14ac:dyDescent="0.25">
      <c r="E182" s="2">
        <v>2020</v>
      </c>
      <c r="F182" s="2" t="s">
        <v>120</v>
      </c>
      <c r="G182" s="2" t="s">
        <v>121</v>
      </c>
      <c r="H182" s="83">
        <v>9.0999999999999998E-2</v>
      </c>
      <c r="J182" s="2" t="s">
        <v>662</v>
      </c>
      <c r="K182" s="83">
        <v>0.16700000000000001</v>
      </c>
      <c r="L182" s="84">
        <v>378.5</v>
      </c>
      <c r="M182" s="83" t="s">
        <v>552</v>
      </c>
      <c r="N182" s="83" t="s">
        <v>552</v>
      </c>
      <c r="T182" s="2" t="s">
        <v>813</v>
      </c>
      <c r="U182" s="2">
        <v>0.4</v>
      </c>
      <c r="V182" s="2">
        <v>4.03</v>
      </c>
      <c r="W182" s="83" t="s">
        <v>552</v>
      </c>
      <c r="X182" s="83" t="s">
        <v>552</v>
      </c>
      <c r="Y182" s="83" t="s">
        <v>552</v>
      </c>
      <c r="AA182" s="2" t="s">
        <v>1075</v>
      </c>
      <c r="AB182" s="85">
        <f>176.5/1.5</f>
        <v>117.66666666666667</v>
      </c>
      <c r="AC182" s="85">
        <f t="shared" si="0"/>
        <v>29.416666666666668</v>
      </c>
    </row>
    <row r="183" spans="5:29" x14ac:dyDescent="0.25">
      <c r="E183" s="2">
        <v>2020</v>
      </c>
      <c r="F183" s="2" t="s">
        <v>120</v>
      </c>
      <c r="G183" s="2" t="s">
        <v>158</v>
      </c>
      <c r="H183" s="83">
        <v>1.4E-2</v>
      </c>
      <c r="J183" s="2" t="s">
        <v>663</v>
      </c>
      <c r="K183" s="2">
        <v>0.16900000000000001</v>
      </c>
      <c r="L183" s="84">
        <v>383.1</v>
      </c>
      <c r="M183" s="83" t="s">
        <v>552</v>
      </c>
      <c r="N183" s="83" t="s">
        <v>552</v>
      </c>
      <c r="T183" s="2" t="s">
        <v>814</v>
      </c>
      <c r="U183" s="2">
        <v>0.4</v>
      </c>
      <c r="V183" s="2">
        <v>1.73</v>
      </c>
      <c r="W183" s="83" t="s">
        <v>552</v>
      </c>
      <c r="X183" s="83" t="s">
        <v>552</v>
      </c>
      <c r="Y183" s="83" t="s">
        <v>552</v>
      </c>
      <c r="AA183" s="2" t="s">
        <v>1074</v>
      </c>
      <c r="AB183" s="85">
        <f>80.3/1.5</f>
        <v>53.533333333333331</v>
      </c>
      <c r="AC183" s="85">
        <f t="shared" si="0"/>
        <v>13.383333333333333</v>
      </c>
    </row>
    <row r="184" spans="5:29" x14ac:dyDescent="0.25">
      <c r="E184" s="2">
        <v>2021</v>
      </c>
      <c r="F184" s="2" t="s">
        <v>120</v>
      </c>
      <c r="G184" s="2" t="s">
        <v>121</v>
      </c>
      <c r="H184" s="83">
        <v>0.1</v>
      </c>
      <c r="J184" s="2" t="s">
        <v>664</v>
      </c>
      <c r="K184" s="83">
        <v>0.17</v>
      </c>
      <c r="L184" s="84">
        <v>491.1</v>
      </c>
      <c r="M184" s="83" t="s">
        <v>552</v>
      </c>
      <c r="N184" s="83" t="s">
        <v>552</v>
      </c>
      <c r="T184" s="2" t="s">
        <v>818</v>
      </c>
      <c r="U184" s="2">
        <v>6.9000000000000006E-2</v>
      </c>
      <c r="V184" s="2">
        <v>0.57999999999999996</v>
      </c>
      <c r="W184" s="83" t="s">
        <v>552</v>
      </c>
      <c r="X184" s="83" t="s">
        <v>552</v>
      </c>
      <c r="Y184" s="83" t="s">
        <v>552</v>
      </c>
      <c r="AA184" s="2" t="s">
        <v>1077</v>
      </c>
      <c r="AB184" s="85">
        <f>104/1.5</f>
        <v>69.333333333333329</v>
      </c>
      <c r="AC184" s="85">
        <f t="shared" si="0"/>
        <v>17.333333333333332</v>
      </c>
    </row>
    <row r="185" spans="5:29" x14ac:dyDescent="0.25">
      <c r="E185" s="2">
        <v>2021</v>
      </c>
      <c r="F185" s="2" t="s">
        <v>120</v>
      </c>
      <c r="G185" s="2" t="s">
        <v>158</v>
      </c>
      <c r="H185" s="83">
        <v>2.9000000000000001E-2</v>
      </c>
      <c r="J185" s="2" t="s">
        <v>665</v>
      </c>
      <c r="K185" s="2">
        <v>0.17199999999999999</v>
      </c>
      <c r="L185" s="84">
        <v>496.9</v>
      </c>
      <c r="M185" s="83" t="s">
        <v>552</v>
      </c>
      <c r="N185" s="83" t="s">
        <v>552</v>
      </c>
      <c r="T185" s="2" t="s">
        <v>819</v>
      </c>
      <c r="U185" s="2">
        <v>6.9000000000000006E-2</v>
      </c>
      <c r="V185" s="2">
        <v>1.03</v>
      </c>
      <c r="W185" s="83" t="s">
        <v>552</v>
      </c>
      <c r="X185" s="83" t="s">
        <v>552</v>
      </c>
      <c r="Y185" s="83" t="s">
        <v>552</v>
      </c>
      <c r="AA185" s="2" t="s">
        <v>1076</v>
      </c>
      <c r="AB185" s="85">
        <f>27/1.5</f>
        <v>18</v>
      </c>
      <c r="AC185" s="85">
        <f t="shared" si="0"/>
        <v>4.5</v>
      </c>
    </row>
    <row r="186" spans="5:29" x14ac:dyDescent="0.25">
      <c r="E186" s="2">
        <v>2022</v>
      </c>
      <c r="F186" s="2" t="s">
        <v>120</v>
      </c>
      <c r="G186" s="2" t="s">
        <v>121</v>
      </c>
      <c r="H186" s="83">
        <v>8.6999999999999994E-2</v>
      </c>
      <c r="J186" s="2" t="s">
        <v>666</v>
      </c>
      <c r="K186" s="2">
        <v>0.17699999999999999</v>
      </c>
      <c r="L186" s="84">
        <v>699.2</v>
      </c>
      <c r="M186" s="83" t="s">
        <v>552</v>
      </c>
      <c r="N186" s="83" t="s">
        <v>552</v>
      </c>
      <c r="T186" s="2" t="s">
        <v>820</v>
      </c>
      <c r="U186" s="2">
        <v>0.14000000000000001</v>
      </c>
      <c r="V186" s="2">
        <v>1.17</v>
      </c>
      <c r="W186" s="83" t="s">
        <v>552</v>
      </c>
      <c r="X186" s="83" t="s">
        <v>552</v>
      </c>
      <c r="Y186" s="83" t="s">
        <v>552</v>
      </c>
      <c r="AA186" s="2" t="s">
        <v>1091</v>
      </c>
      <c r="AB186" s="85">
        <v>27</v>
      </c>
      <c r="AC186" s="85">
        <f t="shared" si="0"/>
        <v>6.75</v>
      </c>
    </row>
    <row r="187" spans="5:29" x14ac:dyDescent="0.25">
      <c r="E187" s="2">
        <v>2020</v>
      </c>
      <c r="F187" s="2" t="s">
        <v>152</v>
      </c>
      <c r="G187" s="2" t="s">
        <v>153</v>
      </c>
      <c r="H187" s="83">
        <v>1.6E-2</v>
      </c>
      <c r="J187" s="2" t="s">
        <v>667</v>
      </c>
      <c r="K187" s="83">
        <v>0.18</v>
      </c>
      <c r="L187" s="84">
        <v>711</v>
      </c>
      <c r="M187" s="83" t="s">
        <v>552</v>
      </c>
      <c r="N187" s="83" t="s">
        <v>552</v>
      </c>
      <c r="T187" s="2" t="s">
        <v>821</v>
      </c>
      <c r="U187" s="2">
        <v>0.14000000000000001</v>
      </c>
      <c r="V187" s="2">
        <v>2.08</v>
      </c>
      <c r="W187" s="83" t="s">
        <v>552</v>
      </c>
      <c r="X187" s="83" t="s">
        <v>552</v>
      </c>
      <c r="Y187" s="83" t="s">
        <v>552</v>
      </c>
      <c r="AA187" s="2" t="s">
        <v>1079</v>
      </c>
      <c r="AB187" s="85">
        <f>117.3/1.5</f>
        <v>78.2</v>
      </c>
      <c r="AC187" s="85">
        <f t="shared" si="0"/>
        <v>19.55</v>
      </c>
    </row>
    <row r="188" spans="5:29" x14ac:dyDescent="0.25">
      <c r="E188" s="2">
        <v>2021</v>
      </c>
      <c r="F188" s="2" t="s">
        <v>152</v>
      </c>
      <c r="G188" s="2" t="s">
        <v>153</v>
      </c>
      <c r="H188" s="83">
        <v>1.2999999999999999E-2</v>
      </c>
      <c r="J188" s="2" t="s">
        <v>645</v>
      </c>
      <c r="K188" s="83">
        <v>0.14199999999999999</v>
      </c>
      <c r="L188" s="84">
        <v>15.4</v>
      </c>
      <c r="M188" s="83" t="s">
        <v>552</v>
      </c>
      <c r="N188" s="83" t="s">
        <v>552</v>
      </c>
      <c r="T188" s="2" t="s">
        <v>803</v>
      </c>
      <c r="U188" s="2">
        <v>6.9000000000000006E-2</v>
      </c>
      <c r="V188" s="2">
        <v>7.0000000000000007E-2</v>
      </c>
      <c r="W188" s="83" t="s">
        <v>552</v>
      </c>
      <c r="X188" s="83" t="s">
        <v>552</v>
      </c>
      <c r="Y188" s="83" t="s">
        <v>552</v>
      </c>
      <c r="AA188" s="2" t="s">
        <v>1080</v>
      </c>
      <c r="AB188" s="85">
        <f>23.7/1.5</f>
        <v>15.799999999999999</v>
      </c>
      <c r="AC188" s="85">
        <f t="shared" si="0"/>
        <v>3.9499999999999997</v>
      </c>
    </row>
    <row r="189" spans="5:29" x14ac:dyDescent="0.25">
      <c r="E189" s="2">
        <v>2022</v>
      </c>
      <c r="F189" s="2" t="s">
        <v>152</v>
      </c>
      <c r="G189" s="2" t="s">
        <v>153</v>
      </c>
      <c r="H189" s="83">
        <v>2.5000000000000001E-2</v>
      </c>
      <c r="J189" s="2" t="s">
        <v>646</v>
      </c>
      <c r="K189" s="83">
        <v>0.14299999999999999</v>
      </c>
      <c r="L189" s="84">
        <v>26.7</v>
      </c>
      <c r="M189" s="83" t="s">
        <v>552</v>
      </c>
      <c r="N189" s="83" t="s">
        <v>552</v>
      </c>
      <c r="T189" s="2" t="s">
        <v>804</v>
      </c>
      <c r="U189" s="2">
        <v>6.9000000000000006E-2</v>
      </c>
      <c r="V189" s="2">
        <v>7.0000000000000007E-2</v>
      </c>
      <c r="W189" s="83" t="s">
        <v>552</v>
      </c>
      <c r="X189" s="83" t="s">
        <v>552</v>
      </c>
      <c r="Y189" s="83" t="s">
        <v>552</v>
      </c>
      <c r="AA189" s="2" t="s">
        <v>1081</v>
      </c>
      <c r="AB189" s="85">
        <f>29.9/1.5</f>
        <v>19.933333333333334</v>
      </c>
      <c r="AC189" s="85">
        <f t="shared" si="0"/>
        <v>4.9833333333333334</v>
      </c>
    </row>
    <row r="190" spans="5:29" x14ac:dyDescent="0.25">
      <c r="E190" s="2">
        <v>2020</v>
      </c>
      <c r="F190" s="2" t="s">
        <v>173</v>
      </c>
      <c r="G190" s="2" t="s">
        <v>174</v>
      </c>
      <c r="H190" s="83">
        <v>0.121</v>
      </c>
      <c r="J190" s="2" t="s">
        <v>647</v>
      </c>
      <c r="K190" s="83">
        <v>0.14899999999999999</v>
      </c>
      <c r="L190" s="84">
        <v>27.8</v>
      </c>
      <c r="M190" s="83" t="s">
        <v>552</v>
      </c>
      <c r="N190" s="83" t="s">
        <v>552</v>
      </c>
      <c r="T190" s="2" t="s">
        <v>811</v>
      </c>
      <c r="U190" s="2">
        <v>0.14000000000000001</v>
      </c>
      <c r="V190" s="2">
        <v>0.188</v>
      </c>
      <c r="W190" s="83" t="s">
        <v>552</v>
      </c>
      <c r="X190" s="83" t="s">
        <v>552</v>
      </c>
      <c r="Y190" s="83" t="s">
        <v>552</v>
      </c>
      <c r="AA190" s="2" t="s">
        <v>1082</v>
      </c>
      <c r="AB190" s="85">
        <f>68.3/1.5</f>
        <v>45.533333333333331</v>
      </c>
      <c r="AC190" s="85">
        <f t="shared" si="0"/>
        <v>11.383333333333333</v>
      </c>
    </row>
    <row r="191" spans="5:29" x14ac:dyDescent="0.25">
      <c r="E191" s="2">
        <v>2021</v>
      </c>
      <c r="F191" s="2" t="s">
        <v>173</v>
      </c>
      <c r="G191" s="2" t="s">
        <v>174</v>
      </c>
      <c r="H191" s="83">
        <v>0.126</v>
      </c>
      <c r="J191" s="2" t="s">
        <v>648</v>
      </c>
      <c r="K191" s="83">
        <v>0.14299999999999999</v>
      </c>
      <c r="L191" s="84">
        <v>34</v>
      </c>
      <c r="M191" s="83" t="s">
        <v>552</v>
      </c>
      <c r="N191" s="83" t="s">
        <v>552</v>
      </c>
      <c r="T191" s="2" t="s">
        <v>805</v>
      </c>
      <c r="U191" s="2">
        <v>6.9000000000000006E-2</v>
      </c>
      <c r="V191" s="2">
        <v>0.16</v>
      </c>
      <c r="W191" s="83" t="s">
        <v>552</v>
      </c>
      <c r="X191" s="83" t="s">
        <v>552</v>
      </c>
      <c r="Y191" s="83" t="s">
        <v>552</v>
      </c>
      <c r="AA191" s="2" t="s">
        <v>1083</v>
      </c>
      <c r="AB191" s="85">
        <f>104.9/1.5</f>
        <v>69.933333333333337</v>
      </c>
      <c r="AC191" s="85">
        <f t="shared" si="0"/>
        <v>17.483333333333334</v>
      </c>
    </row>
    <row r="192" spans="5:29" x14ac:dyDescent="0.25">
      <c r="E192" s="2">
        <v>2020</v>
      </c>
      <c r="F192" s="2" t="s">
        <v>130</v>
      </c>
      <c r="G192" s="2" t="s">
        <v>131</v>
      </c>
      <c r="H192" s="83">
        <v>0.13600000000000001</v>
      </c>
      <c r="J192" s="2" t="s">
        <v>649</v>
      </c>
      <c r="K192" s="83">
        <v>0.15</v>
      </c>
      <c r="L192" s="84">
        <v>35.700000000000003</v>
      </c>
      <c r="M192" s="83" t="s">
        <v>552</v>
      </c>
      <c r="N192" s="83" t="s">
        <v>552</v>
      </c>
      <c r="T192" s="2" t="s">
        <v>806</v>
      </c>
      <c r="U192" s="2">
        <v>6.9000000000000006E-2</v>
      </c>
      <c r="V192" s="2">
        <v>0.11</v>
      </c>
      <c r="W192" s="83" t="s">
        <v>552</v>
      </c>
      <c r="X192" s="83" t="s">
        <v>552</v>
      </c>
      <c r="Y192" s="83" t="s">
        <v>552</v>
      </c>
      <c r="AA192" s="2" t="s">
        <v>1084</v>
      </c>
      <c r="AB192" s="85">
        <f>112.5/1.5</f>
        <v>75</v>
      </c>
      <c r="AC192" s="85">
        <f t="shared" si="0"/>
        <v>18.75</v>
      </c>
    </row>
    <row r="193" spans="5:29" x14ac:dyDescent="0.25">
      <c r="E193" s="2">
        <v>2021</v>
      </c>
      <c r="F193" s="2" t="s">
        <v>130</v>
      </c>
      <c r="G193" s="2" t="s">
        <v>131</v>
      </c>
      <c r="H193" s="83">
        <v>0.17199999999999999</v>
      </c>
      <c r="J193" s="2" t="s">
        <v>650</v>
      </c>
      <c r="K193" s="83">
        <v>0.14299999999999999</v>
      </c>
      <c r="L193" s="84">
        <v>49.3</v>
      </c>
      <c r="M193" s="83" t="s">
        <v>552</v>
      </c>
      <c r="N193" s="83" t="s">
        <v>552</v>
      </c>
      <c r="T193" s="2" t="s">
        <v>801</v>
      </c>
      <c r="U193" s="83">
        <v>6.9000000000000006E-2</v>
      </c>
      <c r="V193" s="83" t="s">
        <v>552</v>
      </c>
      <c r="W193" s="83" t="s">
        <v>552</v>
      </c>
      <c r="X193" s="83" t="s">
        <v>552</v>
      </c>
      <c r="Y193" s="83" t="s">
        <v>552</v>
      </c>
      <c r="AA193" s="2" t="s">
        <v>1085</v>
      </c>
      <c r="AB193" s="85">
        <f>28.5/1.5</f>
        <v>19</v>
      </c>
      <c r="AC193" s="85">
        <f t="shared" si="0"/>
        <v>4.75</v>
      </c>
    </row>
    <row r="194" spans="5:29" x14ac:dyDescent="0.25">
      <c r="E194" s="2">
        <v>2020</v>
      </c>
      <c r="F194" s="2" t="s">
        <v>204</v>
      </c>
      <c r="G194" s="2" t="s">
        <v>205</v>
      </c>
      <c r="H194" s="83">
        <v>0.23100000000000001</v>
      </c>
      <c r="J194" s="2" t="s">
        <v>651</v>
      </c>
      <c r="K194" s="83">
        <v>0.151</v>
      </c>
      <c r="L194" s="84">
        <v>67.099999999999994</v>
      </c>
      <c r="M194" s="83" t="s">
        <v>552</v>
      </c>
      <c r="N194" s="83" t="s">
        <v>552</v>
      </c>
      <c r="T194" s="2" t="s">
        <v>807</v>
      </c>
      <c r="U194" s="2">
        <v>6.9000000000000006E-2</v>
      </c>
      <c r="V194" s="2">
        <v>0.33</v>
      </c>
      <c r="W194" s="83" t="s">
        <v>552</v>
      </c>
      <c r="X194" s="83" t="s">
        <v>552</v>
      </c>
      <c r="Y194" s="83" t="s">
        <v>552</v>
      </c>
      <c r="AA194" s="2" t="s">
        <v>1087</v>
      </c>
      <c r="AB194" s="85">
        <f>55.9/1.5</f>
        <v>37.266666666666666</v>
      </c>
      <c r="AC194" s="85">
        <f t="shared" si="0"/>
        <v>9.3166666666666664</v>
      </c>
    </row>
    <row r="195" spans="5:29" x14ac:dyDescent="0.25">
      <c r="E195" s="2">
        <v>2021</v>
      </c>
      <c r="F195" s="2" t="s">
        <v>204</v>
      </c>
      <c r="G195" s="2" t="s">
        <v>205</v>
      </c>
      <c r="H195" s="83">
        <v>0.184</v>
      </c>
      <c r="J195" s="2" t="s">
        <v>652</v>
      </c>
      <c r="K195" s="83">
        <v>0.152</v>
      </c>
      <c r="L195" s="84">
        <v>52.4</v>
      </c>
      <c r="M195" s="83" t="s">
        <v>552</v>
      </c>
      <c r="N195" s="83" t="s">
        <v>552</v>
      </c>
      <c r="T195" s="2" t="s">
        <v>810</v>
      </c>
      <c r="U195" s="2">
        <v>0.14000000000000001</v>
      </c>
      <c r="V195" s="2">
        <v>7.8E-2</v>
      </c>
      <c r="W195" s="83" t="s">
        <v>552</v>
      </c>
      <c r="X195" s="83" t="s">
        <v>552</v>
      </c>
      <c r="Y195" s="83" t="s">
        <v>552</v>
      </c>
      <c r="AA195" s="2" t="s">
        <v>1086</v>
      </c>
      <c r="AB195" s="85">
        <f>38/1.5</f>
        <v>25.333333333333332</v>
      </c>
      <c r="AC195" s="85">
        <f t="shared" si="0"/>
        <v>6.333333333333333</v>
      </c>
    </row>
    <row r="196" spans="5:29" x14ac:dyDescent="0.25">
      <c r="E196" s="2">
        <v>2020</v>
      </c>
      <c r="F196" s="2" t="s">
        <v>140</v>
      </c>
      <c r="G196" s="2" t="s">
        <v>141</v>
      </c>
      <c r="H196" s="83">
        <v>1E-3</v>
      </c>
      <c r="J196" s="2" t="s">
        <v>653</v>
      </c>
      <c r="K196" s="83">
        <v>0.14499999999999999</v>
      </c>
      <c r="L196" s="84">
        <v>67.7</v>
      </c>
      <c r="M196" s="83" t="s">
        <v>552</v>
      </c>
      <c r="N196" s="83" t="s">
        <v>552</v>
      </c>
      <c r="T196" s="2" t="s">
        <v>812</v>
      </c>
      <c r="U196" s="2">
        <v>0.3</v>
      </c>
      <c r="V196" s="2">
        <v>0.3</v>
      </c>
      <c r="W196" s="83" t="s">
        <v>552</v>
      </c>
      <c r="X196" s="83" t="s">
        <v>552</v>
      </c>
      <c r="Y196" s="83" t="s">
        <v>552</v>
      </c>
      <c r="AA196" s="2" t="s">
        <v>1088</v>
      </c>
      <c r="AB196" s="85">
        <f>19.8/1.5</f>
        <v>13.200000000000001</v>
      </c>
      <c r="AC196" s="85">
        <f t="shared" si="0"/>
        <v>3.3000000000000003</v>
      </c>
    </row>
    <row r="197" spans="5:29" x14ac:dyDescent="0.25">
      <c r="E197" s="2">
        <v>2021</v>
      </c>
      <c r="F197" s="2" t="s">
        <v>140</v>
      </c>
      <c r="G197" s="2" t="s">
        <v>141</v>
      </c>
      <c r="H197" s="83">
        <v>4.0000000000000001E-3</v>
      </c>
      <c r="J197" s="2" t="s">
        <v>654</v>
      </c>
      <c r="K197" s="83">
        <v>0.153</v>
      </c>
      <c r="L197" s="84">
        <v>91.8</v>
      </c>
      <c r="M197" s="83" t="s">
        <v>552</v>
      </c>
      <c r="N197" s="83" t="s">
        <v>552</v>
      </c>
      <c r="W197" s="83"/>
      <c r="AA197" s="2" t="s">
        <v>1078</v>
      </c>
      <c r="AB197" s="85">
        <f>9.4/1.5</f>
        <v>6.2666666666666666</v>
      </c>
      <c r="AC197" s="85">
        <f t="shared" si="0"/>
        <v>1.5666666666666667</v>
      </c>
    </row>
    <row r="198" spans="5:29" x14ac:dyDescent="0.25">
      <c r="E198" s="2">
        <v>2020</v>
      </c>
      <c r="F198" s="2" t="s">
        <v>198</v>
      </c>
      <c r="G198" s="2" t="s">
        <v>199</v>
      </c>
      <c r="H198" s="83">
        <v>2.5999999999999999E-2</v>
      </c>
      <c r="J198" s="2" t="s">
        <v>655</v>
      </c>
      <c r="K198" s="83">
        <v>0.154</v>
      </c>
      <c r="L198" s="84">
        <v>68.400000000000006</v>
      </c>
      <c r="M198" s="83" t="s">
        <v>552</v>
      </c>
      <c r="N198" s="83" t="s">
        <v>552</v>
      </c>
      <c r="W198" s="83"/>
      <c r="AA198" s="2" t="s">
        <v>1090</v>
      </c>
      <c r="AB198" s="85">
        <f>49.2/1.5</f>
        <v>32.800000000000004</v>
      </c>
      <c r="AC198" s="85">
        <f t="shared" si="0"/>
        <v>8.2000000000000011</v>
      </c>
    </row>
    <row r="199" spans="5:29" x14ac:dyDescent="0.25">
      <c r="J199" s="2" t="s">
        <v>656</v>
      </c>
      <c r="K199" s="83">
        <v>0.157</v>
      </c>
      <c r="L199" s="84">
        <v>137.4</v>
      </c>
      <c r="M199" s="83" t="s">
        <v>552</v>
      </c>
      <c r="N199" s="83" t="s">
        <v>552</v>
      </c>
      <c r="T199" s="79" t="s">
        <v>789</v>
      </c>
      <c r="V199" s="2"/>
      <c r="W199" s="2"/>
      <c r="AA199" s="2" t="s">
        <v>1089</v>
      </c>
      <c r="AB199" s="85">
        <f>95.9/1.5</f>
        <v>63.933333333333337</v>
      </c>
      <c r="AC199" s="85">
        <f t="shared" si="0"/>
        <v>15.983333333333334</v>
      </c>
    </row>
    <row r="200" spans="5:29" x14ac:dyDescent="0.25">
      <c r="J200" s="2" t="s">
        <v>657</v>
      </c>
      <c r="K200" s="83">
        <v>0.158</v>
      </c>
      <c r="L200" s="84">
        <v>138.30000000000001</v>
      </c>
      <c r="M200" s="83" t="s">
        <v>552</v>
      </c>
      <c r="N200" s="83" t="s">
        <v>552</v>
      </c>
      <c r="T200" s="79"/>
      <c r="V200" s="2"/>
      <c r="W200" s="2"/>
    </row>
    <row r="201" spans="5:29" ht="18.75" thickBot="1" x14ac:dyDescent="0.4">
      <c r="G201" s="2" t="s">
        <v>207</v>
      </c>
      <c r="J201" s="2" t="s">
        <v>669</v>
      </c>
      <c r="K201" s="83">
        <v>0.151</v>
      </c>
      <c r="L201" s="83">
        <v>46.4</v>
      </c>
      <c r="M201" s="83" t="s">
        <v>552</v>
      </c>
      <c r="N201" s="83" t="s">
        <v>552</v>
      </c>
      <c r="T201" s="2" t="s">
        <v>834</v>
      </c>
      <c r="U201" s="83">
        <v>1.65</v>
      </c>
      <c r="V201" s="83" t="s">
        <v>552</v>
      </c>
      <c r="W201" s="83" t="s">
        <v>552</v>
      </c>
      <c r="X201" s="83" t="s">
        <v>552</v>
      </c>
      <c r="Y201" s="83" t="s">
        <v>552</v>
      </c>
      <c r="Z201" s="83" t="s">
        <v>552</v>
      </c>
      <c r="AA201" s="86" t="s">
        <v>1093</v>
      </c>
      <c r="AB201" s="86" t="s">
        <v>1028</v>
      </c>
      <c r="AC201" s="86" t="s">
        <v>1029</v>
      </c>
    </row>
    <row r="202" spans="5:29" x14ac:dyDescent="0.25">
      <c r="E202" s="2" t="s">
        <v>206</v>
      </c>
      <c r="G202" s="2" t="s">
        <v>181</v>
      </c>
      <c r="J202" s="2" t="s">
        <v>670</v>
      </c>
      <c r="K202" s="83">
        <v>0.157</v>
      </c>
      <c r="L202" s="83">
        <v>125.6</v>
      </c>
      <c r="M202" s="83" t="s">
        <v>552</v>
      </c>
      <c r="N202" s="83" t="s">
        <v>552</v>
      </c>
      <c r="T202" s="2" t="s">
        <v>828</v>
      </c>
      <c r="U202" s="2">
        <v>0.127</v>
      </c>
      <c r="V202" s="83" t="s">
        <v>552</v>
      </c>
      <c r="W202" s="83" t="s">
        <v>552</v>
      </c>
      <c r="X202" s="83" t="s">
        <v>552</v>
      </c>
      <c r="Y202" s="83" t="s">
        <v>552</v>
      </c>
      <c r="Z202" s="83" t="s">
        <v>552</v>
      </c>
    </row>
    <row r="203" spans="5:29" x14ac:dyDescent="0.25">
      <c r="E203" s="2" t="s">
        <v>134</v>
      </c>
      <c r="G203" s="2" t="s">
        <v>141</v>
      </c>
      <c r="J203" s="2" t="s">
        <v>668</v>
      </c>
      <c r="K203" s="83">
        <v>0.14799999999999999</v>
      </c>
      <c r="L203" s="83" t="s">
        <v>552</v>
      </c>
      <c r="M203" s="83" t="s">
        <v>552</v>
      </c>
      <c r="N203" s="83" t="s">
        <v>552</v>
      </c>
      <c r="T203" s="2" t="s">
        <v>829</v>
      </c>
      <c r="U203" s="83">
        <v>0.55000000000000004</v>
      </c>
      <c r="V203" s="83" t="s">
        <v>552</v>
      </c>
      <c r="W203" s="83" t="s">
        <v>552</v>
      </c>
      <c r="X203" s="83" t="s">
        <v>552</v>
      </c>
      <c r="Y203" s="83" t="s">
        <v>552</v>
      </c>
      <c r="Z203" s="83" t="s">
        <v>552</v>
      </c>
      <c r="AA203" s="2" t="s">
        <v>1130</v>
      </c>
      <c r="AB203" s="85">
        <f>121.5/1.5</f>
        <v>81</v>
      </c>
      <c r="AC203" s="85">
        <f t="shared" ref="AC203:AC241" si="1">AB203*0.25</f>
        <v>20.25</v>
      </c>
    </row>
    <row r="204" spans="5:29" x14ac:dyDescent="0.25">
      <c r="E204" s="2" t="s">
        <v>215</v>
      </c>
      <c r="G204" s="2" t="s">
        <v>139</v>
      </c>
      <c r="J204" s="2" t="s">
        <v>678</v>
      </c>
      <c r="K204" s="2">
        <v>0.20200000000000001</v>
      </c>
      <c r="L204" s="83" t="s">
        <v>552</v>
      </c>
      <c r="M204" s="83" t="s">
        <v>552</v>
      </c>
      <c r="N204" s="83" t="s">
        <v>552</v>
      </c>
      <c r="T204" s="2" t="s">
        <v>830</v>
      </c>
      <c r="U204" s="83">
        <v>0.64</v>
      </c>
      <c r="V204" s="83" t="s">
        <v>552</v>
      </c>
      <c r="W204" s="83" t="s">
        <v>552</v>
      </c>
      <c r="X204" s="83" t="s">
        <v>552</v>
      </c>
      <c r="Y204" s="83" t="s">
        <v>552</v>
      </c>
      <c r="Z204" s="83" t="s">
        <v>552</v>
      </c>
      <c r="AA204" s="2" t="s">
        <v>1123</v>
      </c>
      <c r="AB204" s="85">
        <f>24.2/1.5</f>
        <v>16.133333333333333</v>
      </c>
      <c r="AC204" s="85">
        <f t="shared" si="1"/>
        <v>4.0333333333333332</v>
      </c>
    </row>
    <row r="205" spans="5:29" x14ac:dyDescent="0.25">
      <c r="E205" s="2" t="s">
        <v>126</v>
      </c>
      <c r="G205" s="2" t="s">
        <v>162</v>
      </c>
      <c r="J205" s="2" t="s">
        <v>700</v>
      </c>
      <c r="K205" s="2">
        <v>0.159</v>
      </c>
      <c r="L205" s="83" t="s">
        <v>552</v>
      </c>
      <c r="M205" s="83" t="s">
        <v>552</v>
      </c>
      <c r="N205" s="83" t="s">
        <v>552</v>
      </c>
      <c r="T205" s="2" t="s">
        <v>823</v>
      </c>
      <c r="U205" s="83">
        <v>0.34</v>
      </c>
      <c r="V205" s="83" t="s">
        <v>552</v>
      </c>
      <c r="W205" s="83" t="s">
        <v>552</v>
      </c>
      <c r="X205" s="83" t="s">
        <v>552</v>
      </c>
      <c r="Y205" s="83" t="s">
        <v>552</v>
      </c>
      <c r="Z205" s="83" t="s">
        <v>552</v>
      </c>
      <c r="AA205" s="2" t="s">
        <v>1118</v>
      </c>
      <c r="AB205" s="85">
        <f>19.5/1.5</f>
        <v>13</v>
      </c>
      <c r="AC205" s="85">
        <f t="shared" si="1"/>
        <v>3.25</v>
      </c>
    </row>
    <row r="206" spans="5:29" x14ac:dyDescent="0.25">
      <c r="E206" s="2" t="s">
        <v>180</v>
      </c>
      <c r="G206" s="2" t="s">
        <v>135</v>
      </c>
      <c r="J206" s="2" t="s">
        <v>699</v>
      </c>
      <c r="K206" s="2">
        <v>0.159</v>
      </c>
      <c r="L206" s="83" t="s">
        <v>552</v>
      </c>
      <c r="M206" s="83" t="s">
        <v>552</v>
      </c>
      <c r="N206" s="83" t="s">
        <v>552</v>
      </c>
      <c r="T206" s="2" t="s">
        <v>822</v>
      </c>
      <c r="U206" s="83">
        <v>0.36</v>
      </c>
      <c r="V206" s="83" t="s">
        <v>552</v>
      </c>
      <c r="W206" s="83" t="s">
        <v>552</v>
      </c>
      <c r="X206" s="83" t="s">
        <v>552</v>
      </c>
      <c r="Y206" s="83" t="s">
        <v>552</v>
      </c>
      <c r="Z206" s="83" t="s">
        <v>552</v>
      </c>
      <c r="AA206" s="2" t="s">
        <v>1112</v>
      </c>
      <c r="AB206" s="85">
        <f>45.2/1.5</f>
        <v>30.133333333333336</v>
      </c>
      <c r="AC206" s="85">
        <f t="shared" si="1"/>
        <v>7.5333333333333341</v>
      </c>
    </row>
    <row r="207" spans="5:29" x14ac:dyDescent="0.25">
      <c r="E207" s="2" t="s">
        <v>218</v>
      </c>
      <c r="G207" s="2" t="s">
        <v>127</v>
      </c>
      <c r="J207" s="2" t="s">
        <v>701</v>
      </c>
      <c r="K207" s="2">
        <v>0.159</v>
      </c>
      <c r="L207" s="83" t="s">
        <v>552</v>
      </c>
      <c r="M207" s="83" t="s">
        <v>552</v>
      </c>
      <c r="N207" s="83" t="s">
        <v>552</v>
      </c>
      <c r="T207" s="2" t="s">
        <v>824</v>
      </c>
      <c r="U207" s="83">
        <v>0.35</v>
      </c>
      <c r="V207" s="83" t="s">
        <v>552</v>
      </c>
      <c r="W207" s="83" t="s">
        <v>552</v>
      </c>
      <c r="X207" s="83" t="s">
        <v>552</v>
      </c>
      <c r="Y207" s="83" t="s">
        <v>552</v>
      </c>
      <c r="Z207" s="83" t="s">
        <v>552</v>
      </c>
      <c r="AA207" s="2" t="s">
        <v>1095</v>
      </c>
      <c r="AB207" s="85">
        <f>17/1.5</f>
        <v>11.333333333333334</v>
      </c>
      <c r="AC207" s="85">
        <f t="shared" si="1"/>
        <v>2.8333333333333335</v>
      </c>
    </row>
    <row r="208" spans="5:29" x14ac:dyDescent="0.25">
      <c r="E208" s="2" t="s">
        <v>118</v>
      </c>
      <c r="G208" s="2" t="s">
        <v>119</v>
      </c>
      <c r="J208" s="2" t="s">
        <v>698</v>
      </c>
      <c r="K208" s="2">
        <v>0.14799999999999999</v>
      </c>
      <c r="L208" s="83" t="s">
        <v>552</v>
      </c>
      <c r="M208" s="83" t="s">
        <v>552</v>
      </c>
      <c r="N208" s="83" t="s">
        <v>552</v>
      </c>
      <c r="T208" s="2" t="s">
        <v>825</v>
      </c>
      <c r="U208" s="83">
        <v>0.4</v>
      </c>
      <c r="V208" s="83" t="s">
        <v>552</v>
      </c>
      <c r="W208" s="83" t="s">
        <v>552</v>
      </c>
      <c r="X208" s="83" t="s">
        <v>552</v>
      </c>
      <c r="Y208" s="83" t="s">
        <v>552</v>
      </c>
      <c r="Z208" s="83" t="s">
        <v>552</v>
      </c>
      <c r="AA208" s="2" t="s">
        <v>1107</v>
      </c>
      <c r="AB208" s="2">
        <f>21.6/1.5</f>
        <v>14.4</v>
      </c>
      <c r="AC208" s="85">
        <f t="shared" si="1"/>
        <v>3.6</v>
      </c>
    </row>
    <row r="209" spans="5:29" x14ac:dyDescent="0.25">
      <c r="E209" s="2" t="s">
        <v>167</v>
      </c>
      <c r="G209" s="2" t="s">
        <v>186</v>
      </c>
      <c r="J209" s="2" t="s">
        <v>688</v>
      </c>
      <c r="K209" s="2">
        <v>0.152</v>
      </c>
      <c r="L209" s="83" t="s">
        <v>552</v>
      </c>
      <c r="M209" s="83" t="s">
        <v>552</v>
      </c>
      <c r="N209" s="83" t="s">
        <v>552</v>
      </c>
      <c r="T209" s="2" t="s">
        <v>628</v>
      </c>
      <c r="U209" s="2">
        <v>0.26</v>
      </c>
      <c r="V209" s="83" t="s">
        <v>552</v>
      </c>
      <c r="W209" s="83" t="s">
        <v>552</v>
      </c>
      <c r="X209" s="83" t="s">
        <v>552</v>
      </c>
      <c r="Y209" s="83" t="s">
        <v>552</v>
      </c>
      <c r="Z209" s="83" t="s">
        <v>552</v>
      </c>
      <c r="AA209" s="2" t="s">
        <v>1097</v>
      </c>
      <c r="AB209" s="85">
        <f>10.4903024438661/1.5</f>
        <v>6.9935349625773995</v>
      </c>
      <c r="AC209" s="85">
        <f t="shared" si="1"/>
        <v>1.7483837406443499</v>
      </c>
    </row>
    <row r="210" spans="5:29" x14ac:dyDescent="0.25">
      <c r="E210" s="2" t="s">
        <v>169</v>
      </c>
      <c r="G210" s="2" t="s">
        <v>168</v>
      </c>
      <c r="J210" s="2" t="s">
        <v>683</v>
      </c>
      <c r="K210" s="2">
        <v>0.152</v>
      </c>
      <c r="L210" s="83" t="s">
        <v>552</v>
      </c>
      <c r="M210" s="83" t="s">
        <v>552</v>
      </c>
      <c r="N210" s="83" t="s">
        <v>552</v>
      </c>
      <c r="T210" s="2" t="s">
        <v>629</v>
      </c>
      <c r="U210" s="2">
        <v>0.23</v>
      </c>
      <c r="V210" s="83" t="s">
        <v>552</v>
      </c>
      <c r="W210" s="83" t="s">
        <v>552</v>
      </c>
      <c r="X210" s="83" t="s">
        <v>552</v>
      </c>
      <c r="Y210" s="83" t="s">
        <v>552</v>
      </c>
      <c r="Z210" s="83" t="s">
        <v>552</v>
      </c>
      <c r="AA210" s="2" t="s">
        <v>1117</v>
      </c>
      <c r="AB210" s="85">
        <f>14.2/1.5</f>
        <v>9.4666666666666668</v>
      </c>
      <c r="AC210" s="85">
        <f t="shared" si="1"/>
        <v>2.3666666666666667</v>
      </c>
    </row>
    <row r="211" spans="5:29" x14ac:dyDescent="0.25">
      <c r="E211" s="2" t="s">
        <v>189</v>
      </c>
      <c r="G211" s="2" t="s">
        <v>123</v>
      </c>
      <c r="J211" s="2" t="s">
        <v>684</v>
      </c>
      <c r="K211" s="2">
        <v>0.152</v>
      </c>
      <c r="L211" s="83" t="s">
        <v>552</v>
      </c>
      <c r="M211" s="83" t="s">
        <v>552</v>
      </c>
      <c r="N211" s="83" t="s">
        <v>552</v>
      </c>
      <c r="T211" s="2" t="s">
        <v>630</v>
      </c>
      <c r="U211" s="2">
        <v>0.28999999999999998</v>
      </c>
      <c r="V211" s="83" t="s">
        <v>552</v>
      </c>
      <c r="W211" s="83" t="s">
        <v>552</v>
      </c>
      <c r="X211" s="83" t="s">
        <v>552</v>
      </c>
      <c r="Y211" s="83" t="s">
        <v>552</v>
      </c>
      <c r="Z211" s="83" t="s">
        <v>552</v>
      </c>
      <c r="AA211" s="2" t="s">
        <v>1098</v>
      </c>
      <c r="AB211" s="85">
        <f>12.256486584064/1.5</f>
        <v>8.1709910560426664</v>
      </c>
      <c r="AC211" s="85">
        <f t="shared" si="1"/>
        <v>2.0427477640106666</v>
      </c>
    </row>
    <row r="212" spans="5:29" x14ac:dyDescent="0.25">
      <c r="E212" s="2" t="s">
        <v>184</v>
      </c>
      <c r="G212" s="2" t="s">
        <v>191</v>
      </c>
      <c r="J212" s="2" t="s">
        <v>685</v>
      </c>
      <c r="K212" s="2">
        <v>0.151</v>
      </c>
      <c r="L212" s="83" t="s">
        <v>552</v>
      </c>
      <c r="M212" s="83" t="s">
        <v>552</v>
      </c>
      <c r="N212" s="83" t="s">
        <v>552</v>
      </c>
      <c r="T212" s="2" t="s">
        <v>835</v>
      </c>
      <c r="U212" s="83">
        <v>1.72</v>
      </c>
      <c r="V212" s="83" t="s">
        <v>552</v>
      </c>
      <c r="W212" s="83" t="s">
        <v>552</v>
      </c>
      <c r="X212" s="83" t="s">
        <v>552</v>
      </c>
      <c r="Y212" s="83" t="s">
        <v>552</v>
      </c>
      <c r="Z212" s="83" t="s">
        <v>552</v>
      </c>
      <c r="AA212" s="2" t="s">
        <v>1116</v>
      </c>
      <c r="AB212" s="85">
        <f>28.4/1.5</f>
        <v>18.933333333333334</v>
      </c>
      <c r="AC212" s="85">
        <f t="shared" si="1"/>
        <v>4.7333333333333334</v>
      </c>
    </row>
    <row r="213" spans="5:29" x14ac:dyDescent="0.25">
      <c r="E213" s="2" t="s">
        <v>122</v>
      </c>
      <c r="G213" s="2" t="s">
        <v>229</v>
      </c>
      <c r="J213" s="2" t="s">
        <v>686</v>
      </c>
      <c r="K213" s="2">
        <v>0.151</v>
      </c>
      <c r="L213" s="83" t="s">
        <v>552</v>
      </c>
      <c r="M213" s="83" t="s">
        <v>552</v>
      </c>
      <c r="N213" s="83" t="s">
        <v>552</v>
      </c>
      <c r="T213" s="2" t="s">
        <v>833</v>
      </c>
      <c r="U213" s="2">
        <v>0.23</v>
      </c>
      <c r="V213" s="83" t="s">
        <v>552</v>
      </c>
      <c r="W213" s="83" t="s">
        <v>552</v>
      </c>
      <c r="X213" s="83" t="s">
        <v>552</v>
      </c>
      <c r="Y213" s="83" t="s">
        <v>552</v>
      </c>
      <c r="Z213" s="83" t="s">
        <v>552</v>
      </c>
      <c r="AA213" s="2" t="s">
        <v>1127</v>
      </c>
      <c r="AB213" s="85">
        <f>104.9/1.5</f>
        <v>69.933333333333337</v>
      </c>
      <c r="AC213" s="85">
        <f t="shared" si="1"/>
        <v>17.483333333333334</v>
      </c>
    </row>
    <row r="214" spans="5:29" x14ac:dyDescent="0.25">
      <c r="E214" s="2" t="s">
        <v>190</v>
      </c>
      <c r="G214" s="2" t="s">
        <v>221</v>
      </c>
      <c r="J214" s="2" t="s">
        <v>687</v>
      </c>
      <c r="K214" s="2">
        <v>0.152</v>
      </c>
      <c r="L214" s="83" t="s">
        <v>552</v>
      </c>
      <c r="M214" s="83" t="s">
        <v>552</v>
      </c>
      <c r="N214" s="83" t="s">
        <v>552</v>
      </c>
      <c r="T214" s="2" t="s">
        <v>842</v>
      </c>
      <c r="U214" s="2">
        <v>0.05</v>
      </c>
      <c r="V214" s="83" t="s">
        <v>552</v>
      </c>
      <c r="W214" s="83" t="s">
        <v>552</v>
      </c>
      <c r="X214" s="83" t="s">
        <v>552</v>
      </c>
      <c r="Y214" s="83" t="s">
        <v>552</v>
      </c>
      <c r="Z214" s="83" t="s">
        <v>552</v>
      </c>
      <c r="AA214" s="2" t="s">
        <v>1131</v>
      </c>
      <c r="AB214" s="85">
        <f>84.7/1.5</f>
        <v>56.466666666666669</v>
      </c>
      <c r="AC214" s="85">
        <f t="shared" si="1"/>
        <v>14.116666666666667</v>
      </c>
    </row>
    <row r="215" spans="5:29" x14ac:dyDescent="0.25">
      <c r="E215" s="2" t="s">
        <v>116</v>
      </c>
      <c r="G215" s="2" t="s">
        <v>224</v>
      </c>
      <c r="J215" s="2" t="s">
        <v>679</v>
      </c>
      <c r="K215" s="2">
        <v>0.186</v>
      </c>
      <c r="L215" s="83" t="s">
        <v>552</v>
      </c>
      <c r="M215" s="83" t="s">
        <v>552</v>
      </c>
      <c r="N215" s="83" t="s">
        <v>552</v>
      </c>
      <c r="T215" s="2" t="s">
        <v>843</v>
      </c>
      <c r="U215" s="2">
        <v>2.9000000000000001E-2</v>
      </c>
      <c r="V215" s="83" t="s">
        <v>552</v>
      </c>
      <c r="W215" s="83" t="s">
        <v>552</v>
      </c>
      <c r="X215" s="83" t="s">
        <v>552</v>
      </c>
      <c r="Y215" s="83" t="s">
        <v>552</v>
      </c>
      <c r="Z215" s="83" t="s">
        <v>552</v>
      </c>
      <c r="AA215" s="2" t="s">
        <v>1099</v>
      </c>
      <c r="AB215" s="85">
        <f>13.5337458256275/1.5</f>
        <v>9.0224972170850002</v>
      </c>
      <c r="AC215" s="85">
        <f t="shared" si="1"/>
        <v>2.25562430427125</v>
      </c>
    </row>
    <row r="216" spans="5:29" x14ac:dyDescent="0.25">
      <c r="E216" s="2" t="s">
        <v>228</v>
      </c>
      <c r="G216" s="2" t="s">
        <v>231</v>
      </c>
      <c r="J216" s="2" t="s">
        <v>680</v>
      </c>
      <c r="K216" s="2">
        <v>0.186</v>
      </c>
      <c r="L216" s="83" t="s">
        <v>552</v>
      </c>
      <c r="M216" s="83" t="s">
        <v>552</v>
      </c>
      <c r="N216" s="83" t="s">
        <v>552</v>
      </c>
      <c r="T216" s="2" t="s">
        <v>844</v>
      </c>
      <c r="U216" s="2">
        <v>0.1</v>
      </c>
      <c r="V216" s="83" t="s">
        <v>552</v>
      </c>
      <c r="W216" s="83" t="s">
        <v>552</v>
      </c>
      <c r="X216" s="83" t="s">
        <v>552</v>
      </c>
      <c r="Y216" s="83" t="s">
        <v>552</v>
      </c>
      <c r="Z216" s="83" t="s">
        <v>552</v>
      </c>
      <c r="AA216" s="2" t="s">
        <v>1108</v>
      </c>
      <c r="AB216" s="2">
        <f>17.7/1.5</f>
        <v>11.799999999999999</v>
      </c>
      <c r="AC216" s="85">
        <f t="shared" si="1"/>
        <v>2.9499999999999997</v>
      </c>
    </row>
    <row r="217" spans="5:29" x14ac:dyDescent="0.25">
      <c r="E217" s="2" t="s">
        <v>138</v>
      </c>
      <c r="G217" s="2" t="s">
        <v>195</v>
      </c>
      <c r="J217" s="2" t="s">
        <v>681</v>
      </c>
      <c r="K217" s="2">
        <v>0.186</v>
      </c>
      <c r="L217" s="83" t="s">
        <v>552</v>
      </c>
      <c r="M217" s="83" t="s">
        <v>552</v>
      </c>
      <c r="N217" s="83" t="s">
        <v>552</v>
      </c>
      <c r="T217" s="2" t="s">
        <v>841</v>
      </c>
      <c r="U217" s="2">
        <v>0.31</v>
      </c>
      <c r="V217" s="83" t="s">
        <v>552</v>
      </c>
      <c r="W217" s="83" t="s">
        <v>552</v>
      </c>
      <c r="X217" s="83" t="s">
        <v>552</v>
      </c>
      <c r="Y217" s="83" t="s">
        <v>552</v>
      </c>
      <c r="Z217" s="83" t="s">
        <v>552</v>
      </c>
      <c r="AA217" s="2" t="s">
        <v>1100</v>
      </c>
      <c r="AB217" s="85">
        <f>15.1530044812041/1.5</f>
        <v>10.102002987469399</v>
      </c>
      <c r="AC217" s="85">
        <f t="shared" si="1"/>
        <v>2.5255007468673498</v>
      </c>
    </row>
    <row r="218" spans="5:29" x14ac:dyDescent="0.25">
      <c r="E218" s="2" t="s">
        <v>220</v>
      </c>
      <c r="G218" s="2" t="s">
        <v>194</v>
      </c>
      <c r="J218" s="2" t="s">
        <v>682</v>
      </c>
      <c r="K218" s="2">
        <v>0.186</v>
      </c>
      <c r="L218" s="83" t="s">
        <v>552</v>
      </c>
      <c r="M218" s="83" t="s">
        <v>552</v>
      </c>
      <c r="N218" s="83" t="s">
        <v>552</v>
      </c>
      <c r="T218" s="2" t="s">
        <v>838</v>
      </c>
      <c r="U218" s="83">
        <v>1.56</v>
      </c>
      <c r="V218" s="83" t="s">
        <v>552</v>
      </c>
      <c r="W218" s="83" t="s">
        <v>552</v>
      </c>
      <c r="X218" s="83" t="s">
        <v>552</v>
      </c>
      <c r="Y218" s="83" t="s">
        <v>552</v>
      </c>
      <c r="Z218" s="83" t="s">
        <v>552</v>
      </c>
      <c r="AA218" s="2" t="s">
        <v>1132</v>
      </c>
      <c r="AB218" s="85">
        <f>40.3/1.5</f>
        <v>26.866666666666664</v>
      </c>
      <c r="AC218" s="85">
        <f t="shared" si="1"/>
        <v>6.7166666666666659</v>
      </c>
    </row>
    <row r="219" spans="5:29" x14ac:dyDescent="0.25">
      <c r="E219" s="2" t="s">
        <v>208</v>
      </c>
      <c r="G219" s="2" t="s">
        <v>193</v>
      </c>
      <c r="J219" s="2" t="s">
        <v>697</v>
      </c>
      <c r="K219" s="2">
        <v>0.189</v>
      </c>
      <c r="L219" s="83" t="s">
        <v>552</v>
      </c>
      <c r="M219" s="83" t="s">
        <v>552</v>
      </c>
      <c r="N219" s="83" t="s">
        <v>552</v>
      </c>
      <c r="T219" s="2" t="s">
        <v>837</v>
      </c>
      <c r="U219" s="83">
        <v>0.12</v>
      </c>
      <c r="V219" s="83" t="s">
        <v>552</v>
      </c>
      <c r="W219" s="83" t="s">
        <v>552</v>
      </c>
      <c r="X219" s="83" t="s">
        <v>552</v>
      </c>
      <c r="Y219" s="83" t="s">
        <v>552</v>
      </c>
      <c r="Z219" s="83" t="s">
        <v>552</v>
      </c>
      <c r="AA219" s="2" t="s">
        <v>1111</v>
      </c>
      <c r="AB219" s="85">
        <f>36.7/1.5</f>
        <v>24.466666666666669</v>
      </c>
      <c r="AC219" s="85">
        <f t="shared" si="1"/>
        <v>6.1166666666666671</v>
      </c>
    </row>
    <row r="220" spans="5:29" x14ac:dyDescent="0.25">
      <c r="E220" s="2" t="s">
        <v>175</v>
      </c>
      <c r="G220" s="2" t="s">
        <v>133</v>
      </c>
      <c r="J220" s="2" t="s">
        <v>696</v>
      </c>
      <c r="K220" s="2">
        <v>0.20799999999999999</v>
      </c>
      <c r="L220" s="83" t="s">
        <v>552</v>
      </c>
      <c r="M220" s="83" t="s">
        <v>552</v>
      </c>
      <c r="N220" s="83" t="s">
        <v>552</v>
      </c>
      <c r="T220" s="2" t="s">
        <v>836</v>
      </c>
      <c r="U220" s="83">
        <v>1.67</v>
      </c>
      <c r="V220" s="83" t="s">
        <v>552</v>
      </c>
      <c r="W220" s="83" t="s">
        <v>552</v>
      </c>
      <c r="X220" s="83" t="s">
        <v>552</v>
      </c>
      <c r="Y220" s="83" t="s">
        <v>552</v>
      </c>
      <c r="Z220" s="83" t="s">
        <v>552</v>
      </c>
      <c r="AA220" s="2" t="s">
        <v>1102</v>
      </c>
      <c r="AB220" s="85">
        <f>11.1304162010692/1.5</f>
        <v>7.4202774673794671</v>
      </c>
      <c r="AC220" s="85">
        <f t="shared" si="1"/>
        <v>1.8550693668448668</v>
      </c>
    </row>
    <row r="221" spans="5:29" x14ac:dyDescent="0.25">
      <c r="E221" s="2" t="s">
        <v>223</v>
      </c>
      <c r="G221" s="2" t="s">
        <v>211</v>
      </c>
      <c r="J221" s="2" t="s">
        <v>695</v>
      </c>
      <c r="K221" s="2">
        <v>0.22800000000000001</v>
      </c>
      <c r="L221" s="83" t="s">
        <v>552</v>
      </c>
      <c r="M221" s="83" t="s">
        <v>552</v>
      </c>
      <c r="N221" s="83" t="s">
        <v>552</v>
      </c>
      <c r="T221" s="2" t="s">
        <v>831</v>
      </c>
      <c r="U221" s="83">
        <v>1.3</v>
      </c>
      <c r="V221" s="83" t="s">
        <v>552</v>
      </c>
      <c r="W221" s="83" t="s">
        <v>552</v>
      </c>
      <c r="X221" s="83" t="s">
        <v>552</v>
      </c>
      <c r="Y221" s="83" t="s">
        <v>552</v>
      </c>
      <c r="Z221" s="83" t="s">
        <v>552</v>
      </c>
      <c r="AA221" s="2" t="s">
        <v>1103</v>
      </c>
      <c r="AB221" s="85">
        <f>12.7893095860654/1.5</f>
        <v>8.5262063907102661</v>
      </c>
      <c r="AC221" s="85">
        <f t="shared" si="1"/>
        <v>2.1315515976775665</v>
      </c>
    </row>
    <row r="222" spans="5:29" x14ac:dyDescent="0.25">
      <c r="E222" s="2" t="s">
        <v>230</v>
      </c>
      <c r="G222" s="2" t="s">
        <v>147</v>
      </c>
      <c r="J222" s="2" t="s">
        <v>689</v>
      </c>
      <c r="K222" s="2">
        <v>0.17899999999999999</v>
      </c>
      <c r="L222" s="83" t="s">
        <v>552</v>
      </c>
      <c r="M222" s="83" t="s">
        <v>552</v>
      </c>
      <c r="N222" s="83" t="s">
        <v>552</v>
      </c>
      <c r="T222" s="2" t="s">
        <v>827</v>
      </c>
      <c r="U222" s="2">
        <v>0.18</v>
      </c>
      <c r="V222" s="83" t="s">
        <v>552</v>
      </c>
      <c r="W222" s="83" t="s">
        <v>552</v>
      </c>
      <c r="X222" s="83" t="s">
        <v>552</v>
      </c>
      <c r="Y222" s="83" t="s">
        <v>552</v>
      </c>
      <c r="Z222" s="83" t="s">
        <v>552</v>
      </c>
      <c r="AA222" s="2" t="s">
        <v>1104</v>
      </c>
      <c r="AB222" s="85">
        <f>13.9459712985259/1.5</f>
        <v>9.2973141990172667</v>
      </c>
      <c r="AC222" s="85">
        <f t="shared" si="1"/>
        <v>2.3243285497543167</v>
      </c>
    </row>
    <row r="223" spans="5:29" x14ac:dyDescent="0.25">
      <c r="E223" s="2" t="s">
        <v>192</v>
      </c>
      <c r="G223" s="2" t="s">
        <v>129</v>
      </c>
      <c r="J223" s="2" t="s">
        <v>690</v>
      </c>
      <c r="K223" s="2">
        <v>0.16900000000000001</v>
      </c>
      <c r="L223" s="83" t="s">
        <v>552</v>
      </c>
      <c r="M223" s="83" t="s">
        <v>552</v>
      </c>
      <c r="N223" s="83" t="s">
        <v>552</v>
      </c>
      <c r="T223" s="2" t="s">
        <v>826</v>
      </c>
      <c r="U223" s="2">
        <v>0.23</v>
      </c>
      <c r="V223" s="83" t="s">
        <v>552</v>
      </c>
      <c r="W223" s="83" t="s">
        <v>552</v>
      </c>
      <c r="X223" s="83" t="s">
        <v>552</v>
      </c>
      <c r="Y223" s="83" t="s">
        <v>552</v>
      </c>
      <c r="Z223" s="83" t="s">
        <v>552</v>
      </c>
      <c r="AA223" s="2" t="s">
        <v>1096</v>
      </c>
      <c r="AB223" s="85">
        <f>11/1.5</f>
        <v>7.333333333333333</v>
      </c>
      <c r="AC223" s="85">
        <f t="shared" si="1"/>
        <v>1.8333333333333333</v>
      </c>
    </row>
    <row r="224" spans="5:29" x14ac:dyDescent="0.25">
      <c r="E224" s="2" t="s">
        <v>132</v>
      </c>
      <c r="G224" s="2" t="s">
        <v>164</v>
      </c>
      <c r="J224" s="2" t="s">
        <v>691</v>
      </c>
      <c r="K224" s="2">
        <v>0.16400000000000001</v>
      </c>
      <c r="L224" s="83" t="s">
        <v>552</v>
      </c>
      <c r="M224" s="83" t="s">
        <v>552</v>
      </c>
      <c r="N224" s="83" t="s">
        <v>552</v>
      </c>
      <c r="T224" s="2" t="s">
        <v>840</v>
      </c>
      <c r="U224" s="2">
        <v>2.8</v>
      </c>
      <c r="V224" s="83" t="s">
        <v>552</v>
      </c>
      <c r="W224" s="83" t="s">
        <v>552</v>
      </c>
      <c r="X224" s="83" t="s">
        <v>552</v>
      </c>
      <c r="Y224" s="83" t="s">
        <v>552</v>
      </c>
      <c r="Z224" s="83" t="s">
        <v>552</v>
      </c>
      <c r="AA224" s="2" t="s">
        <v>1101</v>
      </c>
      <c r="AB224" s="85">
        <f>13.0871953973198/1.5</f>
        <v>8.7247969315465337</v>
      </c>
      <c r="AC224" s="85">
        <f t="shared" si="1"/>
        <v>2.1811992328866334</v>
      </c>
    </row>
    <row r="225" spans="5:29" x14ac:dyDescent="0.25">
      <c r="E225" s="2" t="s">
        <v>210</v>
      </c>
      <c r="G225" s="2" t="s">
        <v>157</v>
      </c>
      <c r="J225" s="2" t="s">
        <v>674</v>
      </c>
      <c r="K225" s="85">
        <v>0.17799999999999999</v>
      </c>
      <c r="L225" s="83" t="s">
        <v>552</v>
      </c>
      <c r="M225" s="83" t="s">
        <v>552</v>
      </c>
      <c r="N225" s="83" t="s">
        <v>552</v>
      </c>
      <c r="T225" s="2" t="s">
        <v>839</v>
      </c>
      <c r="U225" s="83">
        <v>0.24</v>
      </c>
      <c r="V225" s="83" t="s">
        <v>552</v>
      </c>
      <c r="W225" s="83" t="s">
        <v>552</v>
      </c>
      <c r="X225" s="83" t="s">
        <v>552</v>
      </c>
      <c r="Y225" s="83" t="s">
        <v>552</v>
      </c>
      <c r="Z225" s="83" t="s">
        <v>552</v>
      </c>
      <c r="AA225" s="2" t="s">
        <v>1125</v>
      </c>
      <c r="AB225" s="85">
        <f>63.4/1.5</f>
        <v>42.266666666666666</v>
      </c>
      <c r="AC225" s="85">
        <f t="shared" si="1"/>
        <v>10.566666666666666</v>
      </c>
    </row>
    <row r="226" spans="5:29" x14ac:dyDescent="0.25">
      <c r="E226" s="2" t="s">
        <v>146</v>
      </c>
      <c r="G226" s="2" t="s">
        <v>179</v>
      </c>
      <c r="J226" s="2" t="s">
        <v>675</v>
      </c>
      <c r="K226" s="2">
        <v>0.17799999999999999</v>
      </c>
      <c r="L226" s="83" t="s">
        <v>552</v>
      </c>
      <c r="M226" s="83" t="s">
        <v>552</v>
      </c>
      <c r="N226" s="83" t="s">
        <v>552</v>
      </c>
      <c r="T226" s="2" t="s">
        <v>832</v>
      </c>
      <c r="U226" s="83">
        <v>1.1599999999999999</v>
      </c>
      <c r="V226" s="83" t="s">
        <v>552</v>
      </c>
      <c r="W226" s="83" t="s">
        <v>552</v>
      </c>
      <c r="X226" s="83" t="s">
        <v>552</v>
      </c>
      <c r="Y226" s="83" t="s">
        <v>552</v>
      </c>
      <c r="Z226" s="83" t="s">
        <v>552</v>
      </c>
      <c r="AA226" s="2" t="s">
        <v>1119</v>
      </c>
      <c r="AB226" s="85">
        <f>25.5/1.5</f>
        <v>17</v>
      </c>
      <c r="AC226" s="85">
        <f t="shared" si="1"/>
        <v>4.25</v>
      </c>
    </row>
    <row r="227" spans="5:29" x14ac:dyDescent="0.25">
      <c r="E227" s="2" t="s">
        <v>128</v>
      </c>
      <c r="G227" s="2" t="s">
        <v>137</v>
      </c>
      <c r="J227" s="2" t="s">
        <v>676</v>
      </c>
      <c r="K227" s="2">
        <v>0.17699999999999999</v>
      </c>
      <c r="L227" s="83" t="s">
        <v>552</v>
      </c>
      <c r="M227" s="83" t="s">
        <v>552</v>
      </c>
      <c r="N227" s="83" t="s">
        <v>552</v>
      </c>
      <c r="V227" s="83"/>
      <c r="W227" s="83"/>
      <c r="X227" s="83"/>
      <c r="Y227" s="83"/>
      <c r="Z227" s="83"/>
      <c r="AA227" s="2" t="s">
        <v>1128</v>
      </c>
      <c r="AB227" s="85">
        <f>30.6/1.5</f>
        <v>20.400000000000002</v>
      </c>
      <c r="AC227" s="85">
        <f t="shared" si="1"/>
        <v>5.1000000000000005</v>
      </c>
    </row>
    <row r="228" spans="5:29" x14ac:dyDescent="0.25">
      <c r="E228" s="2" t="s">
        <v>163</v>
      </c>
      <c r="G228" s="2" t="s">
        <v>125</v>
      </c>
      <c r="J228" s="2" t="s">
        <v>677</v>
      </c>
      <c r="K228" s="2">
        <v>0.17799999999999999</v>
      </c>
      <c r="L228" s="83" t="s">
        <v>552</v>
      </c>
      <c r="M228" s="83" t="s">
        <v>552</v>
      </c>
      <c r="N228" s="83" t="s">
        <v>552</v>
      </c>
      <c r="V228" s="83"/>
      <c r="W228" s="83"/>
      <c r="X228" s="83"/>
      <c r="Y228" s="83"/>
      <c r="Z228" s="83"/>
      <c r="AA228" s="2" t="s">
        <v>1109</v>
      </c>
      <c r="AB228" s="85">
        <f>13.8/1.5</f>
        <v>9.2000000000000011</v>
      </c>
      <c r="AC228" s="85">
        <f t="shared" si="1"/>
        <v>2.3000000000000003</v>
      </c>
    </row>
    <row r="229" spans="5:29" x14ac:dyDescent="0.25">
      <c r="E229" s="2" t="s">
        <v>156</v>
      </c>
      <c r="G229" s="2" t="s">
        <v>233</v>
      </c>
      <c r="J229" s="2" t="s">
        <v>692</v>
      </c>
      <c r="K229" s="2">
        <v>0.151</v>
      </c>
      <c r="L229" s="83" t="s">
        <v>552</v>
      </c>
      <c r="M229" s="83" t="s">
        <v>552</v>
      </c>
      <c r="N229" s="83" t="s">
        <v>552</v>
      </c>
      <c r="T229" s="79" t="s">
        <v>845</v>
      </c>
      <c r="V229" s="2"/>
      <c r="W229" s="2"/>
      <c r="Y229" s="83"/>
      <c r="Z229" s="83"/>
      <c r="AA229" s="2" t="s">
        <v>1124</v>
      </c>
      <c r="AB229" s="85">
        <f>99.9/1.5</f>
        <v>66.600000000000009</v>
      </c>
      <c r="AC229" s="85">
        <f t="shared" si="1"/>
        <v>16.650000000000002</v>
      </c>
    </row>
    <row r="230" spans="5:29" x14ac:dyDescent="0.25">
      <c r="E230" s="2" t="s">
        <v>178</v>
      </c>
      <c r="G230" s="2" t="s">
        <v>170</v>
      </c>
      <c r="J230" s="2" t="s">
        <v>693</v>
      </c>
      <c r="K230" s="2">
        <v>0.15</v>
      </c>
      <c r="L230" s="83" t="s">
        <v>552</v>
      </c>
      <c r="M230" s="83" t="s">
        <v>552</v>
      </c>
      <c r="N230" s="83" t="s">
        <v>552</v>
      </c>
      <c r="T230" s="79"/>
      <c r="V230" s="2"/>
      <c r="W230" s="2"/>
      <c r="Y230" s="83"/>
      <c r="Z230" s="83"/>
      <c r="AA230" s="2" t="s">
        <v>1115</v>
      </c>
      <c r="AB230" s="85">
        <f>16.6/1.5</f>
        <v>11.066666666666668</v>
      </c>
      <c r="AC230" s="85">
        <f t="shared" si="1"/>
        <v>2.7666666666666671</v>
      </c>
    </row>
    <row r="231" spans="5:29" x14ac:dyDescent="0.25">
      <c r="E231" s="2" t="s">
        <v>136</v>
      </c>
      <c r="G231" s="2" t="s">
        <v>176</v>
      </c>
      <c r="J231" s="2" t="s">
        <v>694</v>
      </c>
      <c r="K231" s="2">
        <v>0.151</v>
      </c>
      <c r="L231" s="83" t="s">
        <v>552</v>
      </c>
      <c r="M231" s="83" t="s">
        <v>552</v>
      </c>
      <c r="N231" s="83" t="s">
        <v>552</v>
      </c>
      <c r="T231" s="2" t="s">
        <v>850</v>
      </c>
      <c r="U231" s="2">
        <v>2.2000000000000002</v>
      </c>
      <c r="V231" s="83" t="s">
        <v>552</v>
      </c>
      <c r="W231" s="83" t="s">
        <v>552</v>
      </c>
      <c r="X231" s="83" t="s">
        <v>552</v>
      </c>
      <c r="Y231" s="83" t="s">
        <v>552</v>
      </c>
      <c r="Z231" s="83" t="s">
        <v>552</v>
      </c>
      <c r="AA231" s="2" t="s">
        <v>1105</v>
      </c>
      <c r="AB231" s="85">
        <f>13.4185778172535/1.5</f>
        <v>8.9457185448356658</v>
      </c>
      <c r="AC231" s="85">
        <f t="shared" si="1"/>
        <v>2.2364296362089164</v>
      </c>
    </row>
    <row r="232" spans="5:29" x14ac:dyDescent="0.25">
      <c r="E232" s="2" t="s">
        <v>124</v>
      </c>
      <c r="G232" s="2" t="s">
        <v>202</v>
      </c>
      <c r="J232" s="2" t="s">
        <v>577</v>
      </c>
      <c r="K232" s="85">
        <v>0.33</v>
      </c>
      <c r="L232" s="83" t="s">
        <v>552</v>
      </c>
      <c r="M232" s="83" t="s">
        <v>552</v>
      </c>
      <c r="N232" s="83" t="s">
        <v>552</v>
      </c>
      <c r="T232" s="2" t="s">
        <v>849</v>
      </c>
      <c r="U232" s="2">
        <v>2.5</v>
      </c>
      <c r="V232" s="83" t="s">
        <v>552</v>
      </c>
      <c r="W232" s="83" t="s">
        <v>552</v>
      </c>
      <c r="X232" s="83" t="s">
        <v>552</v>
      </c>
      <c r="Y232" s="83" t="s">
        <v>552</v>
      </c>
      <c r="Z232" s="83" t="s">
        <v>552</v>
      </c>
      <c r="AA232" s="2" t="s">
        <v>1094</v>
      </c>
      <c r="AB232" s="85">
        <f>8.8/1.5</f>
        <v>5.8666666666666671</v>
      </c>
      <c r="AC232" s="85">
        <f t="shared" si="1"/>
        <v>1.4666666666666668</v>
      </c>
    </row>
    <row r="233" spans="5:29" x14ac:dyDescent="0.25">
      <c r="E233" s="2" t="s">
        <v>182</v>
      </c>
      <c r="G233" s="2" t="s">
        <v>145</v>
      </c>
      <c r="J233" s="2" t="s">
        <v>673</v>
      </c>
      <c r="K233" s="83">
        <v>6.0000000000000001E-3</v>
      </c>
      <c r="L233" s="83" t="s">
        <v>552</v>
      </c>
      <c r="M233" s="83" t="s">
        <v>552</v>
      </c>
      <c r="N233" s="83" t="s">
        <v>552</v>
      </c>
      <c r="T233" s="2" t="s">
        <v>851</v>
      </c>
      <c r="U233" s="2">
        <v>4.0999999999999996</v>
      </c>
      <c r="V233" s="83" t="s">
        <v>552</v>
      </c>
      <c r="W233" s="83" t="s">
        <v>552</v>
      </c>
      <c r="X233" s="83" t="s">
        <v>552</v>
      </c>
      <c r="Y233" s="83" t="s">
        <v>552</v>
      </c>
      <c r="Z233" s="83" t="s">
        <v>552</v>
      </c>
      <c r="AA233" s="2" t="s">
        <v>1113</v>
      </c>
      <c r="AB233" s="85">
        <f>30.2/1.5</f>
        <v>20.133333333333333</v>
      </c>
      <c r="AC233" s="85">
        <f t="shared" si="1"/>
        <v>5.0333333333333332</v>
      </c>
    </row>
    <row r="234" spans="5:29" x14ac:dyDescent="0.25">
      <c r="E234" s="2" t="s">
        <v>201</v>
      </c>
      <c r="G234" s="2" t="s">
        <v>183</v>
      </c>
      <c r="J234" s="2" t="s">
        <v>714</v>
      </c>
      <c r="K234" s="2">
        <v>8.7999999999999995E-2</v>
      </c>
      <c r="L234" s="83" t="s">
        <v>552</v>
      </c>
      <c r="M234" s="83" t="s">
        <v>552</v>
      </c>
      <c r="N234" s="83" t="s">
        <v>552</v>
      </c>
      <c r="T234" s="2" t="s">
        <v>852</v>
      </c>
      <c r="U234" s="2">
        <v>1.2</v>
      </c>
      <c r="V234" s="83" t="s">
        <v>552</v>
      </c>
      <c r="W234" s="83" t="s">
        <v>552</v>
      </c>
      <c r="X234" s="83" t="s">
        <v>552</v>
      </c>
      <c r="Y234" s="83" t="s">
        <v>552</v>
      </c>
      <c r="Z234" s="83" t="s">
        <v>552</v>
      </c>
      <c r="AA234" s="2" t="s">
        <v>1114</v>
      </c>
      <c r="AB234" s="85">
        <f>68.9/1.5</f>
        <v>45.933333333333337</v>
      </c>
      <c r="AC234" s="85">
        <f t="shared" si="1"/>
        <v>11.483333333333334</v>
      </c>
    </row>
    <row r="235" spans="5:29" x14ac:dyDescent="0.25">
      <c r="E235" s="2" t="s">
        <v>161</v>
      </c>
      <c r="G235" s="2" t="s">
        <v>213</v>
      </c>
      <c r="J235" s="2" t="s">
        <v>724</v>
      </c>
      <c r="K235" s="2">
        <v>0.06</v>
      </c>
      <c r="L235" s="83" t="s">
        <v>552</v>
      </c>
      <c r="M235" s="83" t="s">
        <v>552</v>
      </c>
      <c r="N235" s="83" t="s">
        <v>552</v>
      </c>
      <c r="T235" s="2" t="s">
        <v>846</v>
      </c>
      <c r="U235" s="83">
        <v>0.78</v>
      </c>
      <c r="V235" s="83" t="s">
        <v>552</v>
      </c>
      <c r="W235" s="83" t="s">
        <v>552</v>
      </c>
      <c r="X235" s="83" t="s">
        <v>552</v>
      </c>
      <c r="Y235" s="83" t="s">
        <v>552</v>
      </c>
      <c r="Z235" s="83" t="s">
        <v>552</v>
      </c>
      <c r="AA235" s="2" t="s">
        <v>1129</v>
      </c>
      <c r="AB235" s="85">
        <f>104.9/1.5</f>
        <v>69.933333333333337</v>
      </c>
      <c r="AC235" s="85">
        <f t="shared" si="1"/>
        <v>17.483333333333334</v>
      </c>
    </row>
    <row r="236" spans="5:29" x14ac:dyDescent="0.25">
      <c r="E236" s="2" t="s">
        <v>200</v>
      </c>
      <c r="G236" s="2" t="s">
        <v>177</v>
      </c>
      <c r="J236" s="2" t="s">
        <v>715</v>
      </c>
      <c r="K236" s="2">
        <v>9.6000000000000002E-2</v>
      </c>
      <c r="L236" s="83" t="s">
        <v>552</v>
      </c>
      <c r="M236" s="83" t="s">
        <v>552</v>
      </c>
      <c r="N236" s="83" t="s">
        <v>552</v>
      </c>
      <c r="T236" s="2" t="s">
        <v>847</v>
      </c>
      <c r="U236" s="83">
        <v>5.4</v>
      </c>
      <c r="V236" s="83" t="s">
        <v>552</v>
      </c>
      <c r="W236" s="83" t="s">
        <v>552</v>
      </c>
      <c r="X236" s="83" t="s">
        <v>552</v>
      </c>
      <c r="Y236" s="83" t="s">
        <v>552</v>
      </c>
      <c r="Z236" s="83" t="s">
        <v>552</v>
      </c>
      <c r="AA236" s="2" t="s">
        <v>1120</v>
      </c>
      <c r="AB236" s="85">
        <f>11.5/1.5</f>
        <v>7.666666666666667</v>
      </c>
      <c r="AC236" s="85">
        <f t="shared" si="1"/>
        <v>1.9166666666666667</v>
      </c>
    </row>
    <row r="237" spans="5:29" x14ac:dyDescent="0.25">
      <c r="E237" s="2" t="s">
        <v>212</v>
      </c>
      <c r="G237" s="2" t="s">
        <v>143</v>
      </c>
      <c r="J237" s="2" t="s">
        <v>725</v>
      </c>
      <c r="K237" s="2">
        <v>6.7000000000000004E-2</v>
      </c>
      <c r="L237" s="83" t="s">
        <v>552</v>
      </c>
      <c r="M237" s="83" t="s">
        <v>552</v>
      </c>
      <c r="N237" s="83" t="s">
        <v>552</v>
      </c>
      <c r="T237" s="2" t="s">
        <v>848</v>
      </c>
      <c r="U237" s="83">
        <v>1.99</v>
      </c>
      <c r="V237" s="83" t="s">
        <v>552</v>
      </c>
      <c r="W237" s="83" t="s">
        <v>552</v>
      </c>
      <c r="X237" s="83" t="s">
        <v>552</v>
      </c>
      <c r="Y237" s="83" t="s">
        <v>552</v>
      </c>
      <c r="Z237" s="83" t="s">
        <v>552</v>
      </c>
      <c r="AA237" s="2" t="s">
        <v>1106</v>
      </c>
      <c r="AB237" s="85">
        <f>12.9558340650822/1.5</f>
        <v>8.6372227100548002</v>
      </c>
      <c r="AC237" s="85">
        <f t="shared" si="1"/>
        <v>2.1593056775137001</v>
      </c>
    </row>
    <row r="238" spans="5:29" x14ac:dyDescent="0.25">
      <c r="E238" s="2" t="s">
        <v>142</v>
      </c>
      <c r="G238" s="2" t="s">
        <v>151</v>
      </c>
      <c r="J238" s="2" t="s">
        <v>716</v>
      </c>
      <c r="K238" s="2">
        <v>0.106</v>
      </c>
      <c r="L238" s="83" t="s">
        <v>552</v>
      </c>
      <c r="M238" s="83" t="s">
        <v>552</v>
      </c>
      <c r="N238" s="83" t="s">
        <v>552</v>
      </c>
      <c r="V238" s="83"/>
      <c r="W238" s="83"/>
      <c r="X238" s="83"/>
      <c r="Y238" s="83"/>
      <c r="Z238" s="83"/>
      <c r="AA238" s="2" t="s">
        <v>1110</v>
      </c>
      <c r="AB238" s="85">
        <f>12.7/1.5</f>
        <v>8.4666666666666668</v>
      </c>
      <c r="AC238" s="85">
        <f t="shared" si="1"/>
        <v>2.1166666666666667</v>
      </c>
    </row>
    <row r="239" spans="5:29" x14ac:dyDescent="0.25">
      <c r="E239" s="2" t="s">
        <v>232</v>
      </c>
      <c r="G239" s="2" t="s">
        <v>166</v>
      </c>
      <c r="J239" s="2" t="s">
        <v>726</v>
      </c>
      <c r="K239" s="2">
        <v>7.4999999999999997E-2</v>
      </c>
      <c r="L239" s="83" t="s">
        <v>552</v>
      </c>
      <c r="M239" s="83" t="s">
        <v>552</v>
      </c>
      <c r="N239" s="83" t="s">
        <v>552</v>
      </c>
      <c r="V239" s="83"/>
      <c r="W239" s="83"/>
      <c r="X239" s="83"/>
      <c r="Y239" s="83"/>
      <c r="Z239" s="83"/>
      <c r="AA239" s="2" t="s">
        <v>1126</v>
      </c>
      <c r="AB239" s="85">
        <f>43.5/1.5</f>
        <v>29</v>
      </c>
      <c r="AC239" s="85">
        <f t="shared" si="1"/>
        <v>7.25</v>
      </c>
    </row>
    <row r="240" spans="5:29" x14ac:dyDescent="0.25">
      <c r="E240" s="2" t="s">
        <v>214</v>
      </c>
      <c r="G240" s="2" t="s">
        <v>188</v>
      </c>
      <c r="J240" s="2" t="s">
        <v>720</v>
      </c>
      <c r="K240" s="2">
        <v>0.127</v>
      </c>
      <c r="L240" s="83" t="s">
        <v>552</v>
      </c>
      <c r="M240" s="83" t="s">
        <v>552</v>
      </c>
      <c r="N240" s="83" t="s">
        <v>552</v>
      </c>
      <c r="T240" s="79" t="s">
        <v>853</v>
      </c>
      <c r="V240" s="2"/>
      <c r="W240" s="2"/>
      <c r="Y240" s="83"/>
      <c r="Z240" s="83"/>
      <c r="AA240" s="2" t="s">
        <v>1121</v>
      </c>
      <c r="AB240" s="85">
        <f>13.2/1.5</f>
        <v>8.7999999999999989</v>
      </c>
      <c r="AC240" s="85">
        <f t="shared" si="1"/>
        <v>2.1999999999999997</v>
      </c>
    </row>
    <row r="241" spans="5:29" x14ac:dyDescent="0.25">
      <c r="E241" s="2" t="s">
        <v>234</v>
      </c>
      <c r="G241" s="2" t="s">
        <v>149</v>
      </c>
      <c r="J241" s="2" t="s">
        <v>730</v>
      </c>
      <c r="K241" s="2">
        <v>0.09</v>
      </c>
      <c r="L241" s="83" t="s">
        <v>552</v>
      </c>
      <c r="M241" s="83" t="s">
        <v>552</v>
      </c>
      <c r="N241" s="83" t="s">
        <v>552</v>
      </c>
      <c r="V241" s="2"/>
      <c r="W241" s="2"/>
      <c r="AA241" s="2" t="s">
        <v>1122</v>
      </c>
      <c r="AB241" s="85">
        <f>52.2/1.5</f>
        <v>34.800000000000004</v>
      </c>
      <c r="AC241" s="85">
        <f t="shared" si="1"/>
        <v>8.7000000000000011</v>
      </c>
    </row>
    <row r="242" spans="5:29" x14ac:dyDescent="0.25">
      <c r="E242" s="2" t="s">
        <v>185</v>
      </c>
      <c r="G242" s="2" t="s">
        <v>227</v>
      </c>
      <c r="J242" s="2" t="s">
        <v>717</v>
      </c>
      <c r="K242" s="2">
        <v>0.11899999999999999</v>
      </c>
      <c r="L242" s="83" t="s">
        <v>552</v>
      </c>
      <c r="M242" s="83" t="s">
        <v>552</v>
      </c>
      <c r="N242" s="83" t="s">
        <v>552</v>
      </c>
      <c r="T242" s="2" t="s">
        <v>854</v>
      </c>
      <c r="U242" s="2">
        <v>0.34399999999999997</v>
      </c>
      <c r="V242" s="83" t="s">
        <v>552</v>
      </c>
      <c r="W242" s="83" t="s">
        <v>552</v>
      </c>
      <c r="X242" s="83" t="s">
        <v>552</v>
      </c>
      <c r="Y242" s="83" t="s">
        <v>552</v>
      </c>
      <c r="Z242" s="83" t="s">
        <v>552</v>
      </c>
    </row>
    <row r="243" spans="5:29" x14ac:dyDescent="0.25">
      <c r="E243" s="2" t="s">
        <v>150</v>
      </c>
      <c r="G243" s="2" t="s">
        <v>217</v>
      </c>
      <c r="J243" s="2" t="s">
        <v>727</v>
      </c>
      <c r="K243" s="2">
        <v>8.3000000000000004E-2</v>
      </c>
      <c r="L243" s="83" t="s">
        <v>552</v>
      </c>
      <c r="M243" s="83" t="s">
        <v>552</v>
      </c>
      <c r="N243" s="83" t="s">
        <v>552</v>
      </c>
      <c r="T243" s="2" t="s">
        <v>855</v>
      </c>
      <c r="U243" s="2">
        <v>0.41099999999999998</v>
      </c>
      <c r="V243" s="83" t="s">
        <v>552</v>
      </c>
      <c r="W243" s="83" t="s">
        <v>552</v>
      </c>
      <c r="X243" s="83" t="s">
        <v>552</v>
      </c>
      <c r="Y243" s="83" t="s">
        <v>552</v>
      </c>
      <c r="Z243" s="83" t="s">
        <v>552</v>
      </c>
    </row>
    <row r="244" spans="5:29" x14ac:dyDescent="0.25">
      <c r="E244" s="2" t="s">
        <v>165</v>
      </c>
      <c r="G244" s="2" t="s">
        <v>117</v>
      </c>
      <c r="J244" s="2" t="s">
        <v>721</v>
      </c>
      <c r="K244" s="2">
        <v>0.14499999999999999</v>
      </c>
      <c r="L244" s="83" t="s">
        <v>552</v>
      </c>
      <c r="M244" s="83" t="s">
        <v>552</v>
      </c>
      <c r="N244" s="83" t="s">
        <v>552</v>
      </c>
      <c r="T244" s="2" t="s">
        <v>856</v>
      </c>
      <c r="U244" s="2">
        <v>0.432</v>
      </c>
      <c r="V244" s="83" t="s">
        <v>552</v>
      </c>
      <c r="W244" s="83" t="s">
        <v>552</v>
      </c>
      <c r="X244" s="83" t="s">
        <v>552</v>
      </c>
      <c r="Y244" s="83" t="s">
        <v>552</v>
      </c>
      <c r="Z244" s="83" t="s">
        <v>552</v>
      </c>
    </row>
    <row r="245" spans="5:29" x14ac:dyDescent="0.25">
      <c r="E245" s="2" t="s">
        <v>187</v>
      </c>
      <c r="G245" s="2" t="s">
        <v>172</v>
      </c>
      <c r="J245" s="2" t="s">
        <v>731</v>
      </c>
      <c r="K245" s="2">
        <v>0.10100000000000001</v>
      </c>
      <c r="L245" s="83" t="s">
        <v>552</v>
      </c>
      <c r="M245" s="83" t="s">
        <v>552</v>
      </c>
      <c r="N245" s="83" t="s">
        <v>552</v>
      </c>
      <c r="T245" s="2" t="s">
        <v>857</v>
      </c>
      <c r="U245" s="2">
        <v>0.17799999999999999</v>
      </c>
      <c r="V245" s="83" t="s">
        <v>552</v>
      </c>
      <c r="W245" s="83" t="s">
        <v>552</v>
      </c>
      <c r="X245" s="83" t="s">
        <v>552</v>
      </c>
      <c r="Y245" s="83" t="s">
        <v>552</v>
      </c>
      <c r="Z245" s="83" t="s">
        <v>552</v>
      </c>
    </row>
    <row r="246" spans="5:29" x14ac:dyDescent="0.25">
      <c r="E246" s="2" t="s">
        <v>225</v>
      </c>
      <c r="G246" s="2" t="s">
        <v>160</v>
      </c>
      <c r="J246" s="2" t="s">
        <v>718</v>
      </c>
      <c r="K246" s="2">
        <v>0.13300000000000001</v>
      </c>
      <c r="L246" s="83" t="s">
        <v>552</v>
      </c>
      <c r="M246" s="83" t="s">
        <v>552</v>
      </c>
      <c r="N246" s="83" t="s">
        <v>552</v>
      </c>
      <c r="T246" s="2" t="s">
        <v>858</v>
      </c>
      <c r="U246" s="2">
        <v>0.59699999999999998</v>
      </c>
      <c r="V246" s="83" t="s">
        <v>552</v>
      </c>
      <c r="W246" s="83" t="s">
        <v>552</v>
      </c>
      <c r="X246" s="83" t="s">
        <v>552</v>
      </c>
      <c r="Y246" s="83" t="s">
        <v>552</v>
      </c>
      <c r="Z246" s="83" t="s">
        <v>552</v>
      </c>
    </row>
    <row r="247" spans="5:29" x14ac:dyDescent="0.25">
      <c r="E247" s="2" t="s">
        <v>148</v>
      </c>
      <c r="G247" s="2" t="s">
        <v>155</v>
      </c>
      <c r="J247" s="2" t="s">
        <v>728</v>
      </c>
      <c r="K247" s="2">
        <v>9.4E-2</v>
      </c>
      <c r="L247" s="83" t="s">
        <v>552</v>
      </c>
      <c r="M247" s="83" t="s">
        <v>552</v>
      </c>
      <c r="N247" s="83" t="s">
        <v>552</v>
      </c>
      <c r="T247" s="2" t="s">
        <v>859</v>
      </c>
      <c r="U247" s="2">
        <v>0.73899999999999999</v>
      </c>
      <c r="V247" s="83" t="s">
        <v>552</v>
      </c>
      <c r="W247" s="83" t="s">
        <v>552</v>
      </c>
      <c r="X247" s="83" t="s">
        <v>552</v>
      </c>
      <c r="Y247" s="83" t="s">
        <v>552</v>
      </c>
      <c r="Z247" s="83" t="s">
        <v>552</v>
      </c>
    </row>
    <row r="248" spans="5:29" x14ac:dyDescent="0.25">
      <c r="E248" s="2" t="s">
        <v>144</v>
      </c>
      <c r="G248" s="2" t="s">
        <v>197</v>
      </c>
      <c r="J248" s="2" t="s">
        <v>722</v>
      </c>
      <c r="K248" s="2">
        <v>0.16500000000000001</v>
      </c>
      <c r="L248" s="83" t="s">
        <v>552</v>
      </c>
      <c r="M248" s="83" t="s">
        <v>552</v>
      </c>
      <c r="N248" s="83" t="s">
        <v>552</v>
      </c>
      <c r="T248" s="2" t="s">
        <v>860</v>
      </c>
      <c r="U248" s="2">
        <v>0.65900000000000003</v>
      </c>
      <c r="V248" s="83" t="s">
        <v>552</v>
      </c>
      <c r="W248" s="83" t="s">
        <v>552</v>
      </c>
      <c r="X248" s="83" t="s">
        <v>552</v>
      </c>
      <c r="Y248" s="83" t="s">
        <v>552</v>
      </c>
      <c r="Z248" s="83" t="s">
        <v>552</v>
      </c>
    </row>
    <row r="249" spans="5:29" x14ac:dyDescent="0.25">
      <c r="E249" s="2" t="s">
        <v>226</v>
      </c>
      <c r="G249" s="2" t="s">
        <v>121</v>
      </c>
      <c r="J249" s="2" t="s">
        <v>732</v>
      </c>
      <c r="K249" s="2">
        <v>0.11600000000000001</v>
      </c>
      <c r="L249" s="83" t="s">
        <v>552</v>
      </c>
      <c r="M249" s="83" t="s">
        <v>552</v>
      </c>
      <c r="N249" s="83" t="s">
        <v>552</v>
      </c>
      <c r="T249" s="2" t="s">
        <v>861</v>
      </c>
      <c r="U249" s="2">
        <v>0.745</v>
      </c>
      <c r="V249" s="83" t="s">
        <v>552</v>
      </c>
      <c r="W249" s="83" t="s">
        <v>552</v>
      </c>
      <c r="X249" s="83" t="s">
        <v>552</v>
      </c>
      <c r="Y249" s="83" t="s">
        <v>552</v>
      </c>
      <c r="Z249" s="83" t="s">
        <v>552</v>
      </c>
    </row>
    <row r="250" spans="5:29" x14ac:dyDescent="0.25">
      <c r="E250" s="2" t="s">
        <v>216</v>
      </c>
      <c r="G250" s="2" t="s">
        <v>174</v>
      </c>
      <c r="J250" s="2" t="s">
        <v>719</v>
      </c>
      <c r="K250" s="2">
        <v>0.14199999999999999</v>
      </c>
      <c r="L250" s="83" t="s">
        <v>552</v>
      </c>
      <c r="M250" s="83" t="s">
        <v>552</v>
      </c>
      <c r="N250" s="83" t="s">
        <v>552</v>
      </c>
      <c r="T250" s="2" t="s">
        <v>862</v>
      </c>
      <c r="U250" s="2">
        <v>0.71</v>
      </c>
      <c r="V250" s="83" t="s">
        <v>552</v>
      </c>
      <c r="W250" s="83" t="s">
        <v>552</v>
      </c>
      <c r="X250" s="83" t="s">
        <v>552</v>
      </c>
      <c r="Y250" s="83" t="s">
        <v>552</v>
      </c>
      <c r="Z250" s="83" t="s">
        <v>552</v>
      </c>
    </row>
    <row r="251" spans="5:29" x14ac:dyDescent="0.25">
      <c r="E251" s="2" t="s">
        <v>159</v>
      </c>
      <c r="G251" s="2" t="s">
        <v>209</v>
      </c>
      <c r="J251" s="2" t="s">
        <v>729</v>
      </c>
      <c r="K251" s="83">
        <v>0.1</v>
      </c>
      <c r="L251" s="83" t="s">
        <v>552</v>
      </c>
      <c r="M251" s="83" t="s">
        <v>552</v>
      </c>
      <c r="N251" s="83" t="s">
        <v>552</v>
      </c>
      <c r="T251" s="2" t="s">
        <v>863</v>
      </c>
      <c r="U251" s="2">
        <v>0.435</v>
      </c>
      <c r="V251" s="83" t="s">
        <v>552</v>
      </c>
      <c r="W251" s="83" t="s">
        <v>552</v>
      </c>
      <c r="X251" s="83" t="s">
        <v>552</v>
      </c>
      <c r="Y251" s="83" t="s">
        <v>552</v>
      </c>
      <c r="Z251" s="83" t="s">
        <v>552</v>
      </c>
    </row>
    <row r="252" spans="5:29" x14ac:dyDescent="0.25">
      <c r="E252" s="2" t="s">
        <v>171</v>
      </c>
      <c r="G252" s="2" t="s">
        <v>131</v>
      </c>
      <c r="J252" s="2" t="s">
        <v>723</v>
      </c>
      <c r="K252" s="2">
        <v>0.17399999999999999</v>
      </c>
      <c r="L252" s="83" t="s">
        <v>552</v>
      </c>
      <c r="M252" s="83" t="s">
        <v>552</v>
      </c>
      <c r="N252" s="83" t="s">
        <v>552</v>
      </c>
    </row>
    <row r="253" spans="5:29" x14ac:dyDescent="0.25">
      <c r="E253" s="2" t="s">
        <v>203</v>
      </c>
      <c r="G253" s="2" t="s">
        <v>158</v>
      </c>
      <c r="J253" s="2" t="s">
        <v>733</v>
      </c>
      <c r="K253" s="2">
        <v>0.121</v>
      </c>
      <c r="L253" s="83" t="s">
        <v>552</v>
      </c>
      <c r="M253" s="83" t="s">
        <v>552</v>
      </c>
      <c r="N253" s="83" t="s">
        <v>552</v>
      </c>
    </row>
    <row r="254" spans="5:29" x14ac:dyDescent="0.25">
      <c r="E254" s="2" t="s">
        <v>222</v>
      </c>
      <c r="G254" s="2" t="s">
        <v>205</v>
      </c>
      <c r="J254" s="2" t="s">
        <v>702</v>
      </c>
      <c r="K254" s="2">
        <v>0.11700000000000001</v>
      </c>
      <c r="L254" s="83" t="s">
        <v>552</v>
      </c>
      <c r="M254" s="83" t="s">
        <v>552</v>
      </c>
      <c r="N254" s="83" t="s">
        <v>552</v>
      </c>
    </row>
    <row r="255" spans="5:29" x14ac:dyDescent="0.25">
      <c r="E255" s="2" t="s">
        <v>154</v>
      </c>
      <c r="G255" s="2" t="s">
        <v>219</v>
      </c>
      <c r="J255" s="2" t="s">
        <v>704</v>
      </c>
      <c r="K255" s="83">
        <v>8.3000000000000004E-2</v>
      </c>
      <c r="L255" s="83" t="s">
        <v>552</v>
      </c>
      <c r="M255" s="83" t="s">
        <v>552</v>
      </c>
      <c r="N255" s="83" t="s">
        <v>552</v>
      </c>
      <c r="T255" s="79" t="s">
        <v>901</v>
      </c>
      <c r="V255" s="2"/>
      <c r="W255" s="2"/>
    </row>
    <row r="256" spans="5:29" x14ac:dyDescent="0.25">
      <c r="E256" s="2" t="s">
        <v>196</v>
      </c>
      <c r="G256" s="2" t="s">
        <v>153</v>
      </c>
      <c r="J256" s="2" t="s">
        <v>703</v>
      </c>
      <c r="K256" s="83">
        <v>0.13</v>
      </c>
      <c r="L256" s="83" t="s">
        <v>552</v>
      </c>
      <c r="M256" s="83" t="s">
        <v>552</v>
      </c>
      <c r="N256" s="83" t="s">
        <v>552</v>
      </c>
      <c r="T256" s="79"/>
      <c r="V256" s="2"/>
      <c r="W256" s="2"/>
    </row>
    <row r="257" spans="5:26" x14ac:dyDescent="0.25">
      <c r="E257" s="2" t="s">
        <v>120</v>
      </c>
      <c r="G257" s="2" t="s">
        <v>199</v>
      </c>
      <c r="J257" s="2" t="s">
        <v>705</v>
      </c>
      <c r="K257" s="83">
        <v>9.0999999999999998E-2</v>
      </c>
      <c r="L257" s="83" t="s">
        <v>552</v>
      </c>
      <c r="M257" s="83" t="s">
        <v>552</v>
      </c>
      <c r="N257" s="83" t="s">
        <v>552</v>
      </c>
      <c r="T257" s="2" t="s">
        <v>879</v>
      </c>
      <c r="U257" s="85">
        <v>4.3</v>
      </c>
      <c r="V257" s="83" t="s">
        <v>552</v>
      </c>
      <c r="W257" s="83" t="s">
        <v>552</v>
      </c>
      <c r="X257" s="83" t="s">
        <v>552</v>
      </c>
      <c r="Y257" s="83" t="s">
        <v>552</v>
      </c>
      <c r="Z257" s="83" t="s">
        <v>552</v>
      </c>
    </row>
    <row r="258" spans="5:26" x14ac:dyDescent="0.25">
      <c r="E258" s="2" t="s">
        <v>152</v>
      </c>
      <c r="J258" s="2" t="s">
        <v>706</v>
      </c>
      <c r="K258" s="83">
        <v>0.13</v>
      </c>
      <c r="L258" s="83" t="s">
        <v>552</v>
      </c>
      <c r="M258" s="83" t="s">
        <v>552</v>
      </c>
      <c r="N258" s="83" t="s">
        <v>552</v>
      </c>
      <c r="T258" s="2" t="s">
        <v>878</v>
      </c>
      <c r="U258" s="85">
        <v>19.28</v>
      </c>
      <c r="V258" s="83" t="s">
        <v>552</v>
      </c>
      <c r="W258" s="83" t="s">
        <v>552</v>
      </c>
      <c r="X258" s="83" t="s">
        <v>552</v>
      </c>
      <c r="Y258" s="83" t="s">
        <v>552</v>
      </c>
      <c r="Z258" s="83" t="s">
        <v>552</v>
      </c>
    </row>
    <row r="259" spans="5:26" x14ac:dyDescent="0.25">
      <c r="E259" s="2" t="s">
        <v>173</v>
      </c>
      <c r="J259" s="2" t="s">
        <v>709</v>
      </c>
      <c r="K259" s="83">
        <v>9.0999999999999998E-2</v>
      </c>
      <c r="L259" s="83" t="s">
        <v>552</v>
      </c>
      <c r="M259" s="83" t="s">
        <v>552</v>
      </c>
      <c r="N259" s="83" t="s">
        <v>552</v>
      </c>
      <c r="T259" s="2" t="s">
        <v>875</v>
      </c>
      <c r="U259" s="2">
        <v>2.97</v>
      </c>
      <c r="V259" s="83" t="s">
        <v>552</v>
      </c>
      <c r="W259" s="83" t="s">
        <v>552</v>
      </c>
      <c r="X259" s="83" t="s">
        <v>552</v>
      </c>
      <c r="Y259" s="83" t="s">
        <v>552</v>
      </c>
      <c r="Z259" s="83" t="s">
        <v>552</v>
      </c>
    </row>
    <row r="260" spans="5:26" x14ac:dyDescent="0.25">
      <c r="E260" s="2" t="s">
        <v>130</v>
      </c>
      <c r="J260" s="2" t="s">
        <v>707</v>
      </c>
      <c r="K260" s="2">
        <v>0.14299999999999999</v>
      </c>
      <c r="L260" s="83" t="s">
        <v>552</v>
      </c>
      <c r="M260" s="83" t="s">
        <v>552</v>
      </c>
      <c r="N260" s="83" t="s">
        <v>552</v>
      </c>
      <c r="T260" s="2" t="s">
        <v>872</v>
      </c>
      <c r="U260" s="85">
        <v>17.03</v>
      </c>
      <c r="V260" s="83" t="s">
        <v>552</v>
      </c>
      <c r="W260" s="83" t="s">
        <v>552</v>
      </c>
      <c r="X260" s="83" t="s">
        <v>552</v>
      </c>
      <c r="Y260" s="83" t="s">
        <v>552</v>
      </c>
      <c r="Z260" s="83" t="s">
        <v>552</v>
      </c>
    </row>
    <row r="261" spans="5:26" x14ac:dyDescent="0.25">
      <c r="E261" s="2" t="s">
        <v>204</v>
      </c>
      <c r="J261" s="2" t="s">
        <v>710</v>
      </c>
      <c r="K261" s="83">
        <v>0.1</v>
      </c>
      <c r="L261" s="83" t="s">
        <v>552</v>
      </c>
      <c r="M261" s="83" t="s">
        <v>552</v>
      </c>
      <c r="N261" s="83" t="s">
        <v>552</v>
      </c>
      <c r="T261" s="2" t="s">
        <v>882</v>
      </c>
      <c r="U261" s="2">
        <v>2.6</v>
      </c>
      <c r="V261" s="83" t="s">
        <v>552</v>
      </c>
      <c r="W261" s="83" t="s">
        <v>552</v>
      </c>
      <c r="X261" s="83" t="s">
        <v>552</v>
      </c>
      <c r="Y261" s="83" t="s">
        <v>552</v>
      </c>
      <c r="Z261" s="83" t="s">
        <v>552</v>
      </c>
    </row>
    <row r="262" spans="5:26" x14ac:dyDescent="0.25">
      <c r="E262" s="2" t="s">
        <v>140</v>
      </c>
      <c r="J262" s="2" t="s">
        <v>708</v>
      </c>
      <c r="K262" s="2">
        <v>0.14799999999999999</v>
      </c>
      <c r="L262" s="83" t="s">
        <v>552</v>
      </c>
      <c r="M262" s="83" t="s">
        <v>552</v>
      </c>
      <c r="N262" s="83" t="s">
        <v>552</v>
      </c>
      <c r="T262" s="2" t="s">
        <v>864</v>
      </c>
      <c r="U262" s="2">
        <v>3.51</v>
      </c>
      <c r="V262" s="83" t="s">
        <v>552</v>
      </c>
      <c r="W262" s="83" t="s">
        <v>552</v>
      </c>
      <c r="X262" s="83" t="s">
        <v>552</v>
      </c>
      <c r="Y262" s="83" t="s">
        <v>552</v>
      </c>
      <c r="Z262" s="83" t="s">
        <v>552</v>
      </c>
    </row>
    <row r="263" spans="5:26" x14ac:dyDescent="0.25">
      <c r="E263" s="2" t="s">
        <v>198</v>
      </c>
      <c r="J263" s="2" t="s">
        <v>711</v>
      </c>
      <c r="K263" s="2">
        <v>0.104</v>
      </c>
      <c r="L263" s="83" t="s">
        <v>552</v>
      </c>
      <c r="M263" s="83" t="s">
        <v>552</v>
      </c>
      <c r="N263" s="83" t="s">
        <v>552</v>
      </c>
      <c r="T263" s="2" t="s">
        <v>866</v>
      </c>
      <c r="U263" s="83">
        <v>3.16</v>
      </c>
      <c r="V263" s="83" t="s">
        <v>552</v>
      </c>
      <c r="W263" s="83" t="s">
        <v>552</v>
      </c>
      <c r="X263" s="83" t="s">
        <v>552</v>
      </c>
      <c r="Y263" s="83" t="s">
        <v>552</v>
      </c>
      <c r="Z263" s="83" t="s">
        <v>552</v>
      </c>
    </row>
    <row r="264" spans="5:26" x14ac:dyDescent="0.25">
      <c r="J264" s="2" t="s">
        <v>712</v>
      </c>
      <c r="K264" s="2">
        <v>0.16300000000000001</v>
      </c>
      <c r="L264" s="83" t="s">
        <v>552</v>
      </c>
      <c r="M264" s="83" t="s">
        <v>552</v>
      </c>
      <c r="N264" s="83" t="s">
        <v>552</v>
      </c>
      <c r="T264" s="2" t="s">
        <v>896</v>
      </c>
      <c r="U264" s="2">
        <v>1.32</v>
      </c>
      <c r="V264" s="83" t="s">
        <v>552</v>
      </c>
      <c r="W264" s="83" t="s">
        <v>552</v>
      </c>
      <c r="X264" s="83" t="s">
        <v>552</v>
      </c>
      <c r="Y264" s="83" t="s">
        <v>552</v>
      </c>
      <c r="Z264" s="83" t="s">
        <v>552</v>
      </c>
    </row>
    <row r="265" spans="5:26" x14ac:dyDescent="0.25">
      <c r="J265" s="2" t="s">
        <v>713</v>
      </c>
      <c r="K265" s="2">
        <v>0.115</v>
      </c>
      <c r="L265" s="83" t="s">
        <v>552</v>
      </c>
      <c r="M265" s="83" t="s">
        <v>552</v>
      </c>
      <c r="N265" s="83" t="s">
        <v>552</v>
      </c>
      <c r="T265" s="2" t="s">
        <v>873</v>
      </c>
      <c r="U265" s="2">
        <v>3.37</v>
      </c>
      <c r="V265" s="83" t="s">
        <v>552</v>
      </c>
      <c r="W265" s="83" t="s">
        <v>552</v>
      </c>
      <c r="X265" s="83" t="s">
        <v>552</v>
      </c>
      <c r="Y265" s="83" t="s">
        <v>552</v>
      </c>
      <c r="Z265" s="83" t="s">
        <v>552</v>
      </c>
    </row>
    <row r="266" spans="5:26" x14ac:dyDescent="0.25">
      <c r="T266" s="2" t="s">
        <v>897</v>
      </c>
      <c r="U266" s="2">
        <v>1.37</v>
      </c>
      <c r="V266" s="83" t="s">
        <v>552</v>
      </c>
      <c r="W266" s="83" t="s">
        <v>552</v>
      </c>
      <c r="X266" s="83" t="s">
        <v>552</v>
      </c>
      <c r="Y266" s="83" t="s">
        <v>552</v>
      </c>
      <c r="Z266" s="83" t="s">
        <v>552</v>
      </c>
    </row>
    <row r="267" spans="5:26" x14ac:dyDescent="0.25">
      <c r="T267" s="2" t="s">
        <v>895</v>
      </c>
      <c r="U267" s="2">
        <v>3.32</v>
      </c>
      <c r="V267" s="83" t="s">
        <v>552</v>
      </c>
      <c r="W267" s="83" t="s">
        <v>552</v>
      </c>
      <c r="X267" s="83" t="s">
        <v>552</v>
      </c>
      <c r="Y267" s="83" t="s">
        <v>552</v>
      </c>
      <c r="Z267" s="83" t="s">
        <v>552</v>
      </c>
    </row>
    <row r="268" spans="5:26" x14ac:dyDescent="0.25">
      <c r="T268" s="2" t="s">
        <v>870</v>
      </c>
      <c r="U268" s="2">
        <v>2.91</v>
      </c>
      <c r="V268" s="83" t="s">
        <v>552</v>
      </c>
      <c r="W268" s="83" t="s">
        <v>552</v>
      </c>
      <c r="X268" s="83" t="s">
        <v>552</v>
      </c>
      <c r="Y268" s="83" t="s">
        <v>552</v>
      </c>
      <c r="Z268" s="83" t="s">
        <v>552</v>
      </c>
    </row>
    <row r="269" spans="5:26" x14ac:dyDescent="0.25">
      <c r="T269" s="2" t="s">
        <v>887</v>
      </c>
      <c r="U269" s="2">
        <v>1.57</v>
      </c>
      <c r="V269" s="83" t="s">
        <v>552</v>
      </c>
      <c r="W269" s="83" t="s">
        <v>552</v>
      </c>
      <c r="X269" s="83" t="s">
        <v>552</v>
      </c>
      <c r="Y269" s="83" t="s">
        <v>552</v>
      </c>
      <c r="Z269" s="83" t="s">
        <v>552</v>
      </c>
    </row>
    <row r="270" spans="5:26" x14ac:dyDescent="0.25">
      <c r="T270" s="2" t="s">
        <v>865</v>
      </c>
      <c r="U270" s="2">
        <v>4.12</v>
      </c>
      <c r="V270" s="83" t="s">
        <v>552</v>
      </c>
      <c r="W270" s="83" t="s">
        <v>552</v>
      </c>
      <c r="X270" s="83" t="s">
        <v>552</v>
      </c>
      <c r="Y270" s="83" t="s">
        <v>552</v>
      </c>
      <c r="Z270" s="83" t="s">
        <v>552</v>
      </c>
    </row>
    <row r="271" spans="5:26" x14ac:dyDescent="0.25">
      <c r="T271" s="2" t="s">
        <v>886</v>
      </c>
      <c r="U271" s="2">
        <v>1.45</v>
      </c>
      <c r="V271" s="83" t="s">
        <v>552</v>
      </c>
      <c r="W271" s="83" t="s">
        <v>552</v>
      </c>
      <c r="X271" s="83" t="s">
        <v>552</v>
      </c>
      <c r="Y271" s="83" t="s">
        <v>552</v>
      </c>
      <c r="Z271" s="83" t="s">
        <v>552</v>
      </c>
    </row>
    <row r="272" spans="5:26" x14ac:dyDescent="0.25">
      <c r="T272" s="2" t="s">
        <v>883</v>
      </c>
      <c r="U272" s="85">
        <v>2.97</v>
      </c>
      <c r="V272" s="83" t="s">
        <v>552</v>
      </c>
      <c r="W272" s="83" t="s">
        <v>552</v>
      </c>
      <c r="X272" s="83" t="s">
        <v>552</v>
      </c>
      <c r="Y272" s="83" t="s">
        <v>552</v>
      </c>
      <c r="Z272" s="83" t="s">
        <v>552</v>
      </c>
    </row>
    <row r="273" spans="20:26" x14ac:dyDescent="0.25">
      <c r="T273" s="2" t="s">
        <v>885</v>
      </c>
      <c r="U273" s="2">
        <v>1.18</v>
      </c>
      <c r="V273" s="83" t="s">
        <v>552</v>
      </c>
      <c r="W273" s="83" t="s">
        <v>552</v>
      </c>
      <c r="X273" s="83" t="s">
        <v>552</v>
      </c>
      <c r="Y273" s="83" t="s">
        <v>552</v>
      </c>
      <c r="Z273" s="83" t="s">
        <v>552</v>
      </c>
    </row>
    <row r="274" spans="20:26" x14ac:dyDescent="0.25">
      <c r="T274" s="2" t="s">
        <v>889</v>
      </c>
      <c r="U274" s="2">
        <v>1.36</v>
      </c>
      <c r="V274" s="83" t="s">
        <v>552</v>
      </c>
      <c r="W274" s="83" t="s">
        <v>552</v>
      </c>
      <c r="X274" s="83" t="s">
        <v>552</v>
      </c>
      <c r="Y274" s="83" t="s">
        <v>552</v>
      </c>
      <c r="Z274" s="83" t="s">
        <v>552</v>
      </c>
    </row>
    <row r="275" spans="20:26" x14ac:dyDescent="0.25">
      <c r="T275" s="2" t="s">
        <v>898</v>
      </c>
      <c r="U275" s="2">
        <v>2.5099999999999998</v>
      </c>
      <c r="V275" s="83" t="s">
        <v>552</v>
      </c>
      <c r="W275" s="83" t="s">
        <v>552</v>
      </c>
      <c r="X275" s="83" t="s">
        <v>552</v>
      </c>
      <c r="Y275" s="83" t="s">
        <v>552</v>
      </c>
      <c r="Z275" s="83" t="s">
        <v>552</v>
      </c>
    </row>
    <row r="276" spans="20:26" x14ac:dyDescent="0.25">
      <c r="T276" s="2" t="s">
        <v>899</v>
      </c>
      <c r="U276" s="2">
        <v>1.87</v>
      </c>
      <c r="V276" s="83" t="s">
        <v>552</v>
      </c>
      <c r="W276" s="83" t="s">
        <v>552</v>
      </c>
      <c r="X276" s="83" t="s">
        <v>552</v>
      </c>
      <c r="Y276" s="83" t="s">
        <v>552</v>
      </c>
      <c r="Z276" s="83" t="s">
        <v>552</v>
      </c>
    </row>
    <row r="277" spans="20:26" x14ac:dyDescent="0.25">
      <c r="T277" s="2" t="s">
        <v>894</v>
      </c>
      <c r="U277" s="2">
        <v>2.27</v>
      </c>
      <c r="V277" s="83" t="s">
        <v>552</v>
      </c>
      <c r="W277" s="83" t="s">
        <v>552</v>
      </c>
      <c r="X277" s="83" t="s">
        <v>552</v>
      </c>
      <c r="Y277" s="83" t="s">
        <v>552</v>
      </c>
      <c r="Z277" s="83" t="s">
        <v>552</v>
      </c>
    </row>
    <row r="278" spans="20:26" x14ac:dyDescent="0.25">
      <c r="T278" s="2" t="s">
        <v>871</v>
      </c>
      <c r="U278" s="85">
        <v>2.6</v>
      </c>
      <c r="V278" s="83" t="s">
        <v>552</v>
      </c>
      <c r="W278" s="83" t="s">
        <v>552</v>
      </c>
      <c r="X278" s="83" t="s">
        <v>552</v>
      </c>
      <c r="Y278" s="83" t="s">
        <v>552</v>
      </c>
      <c r="Z278" s="83" t="s">
        <v>552</v>
      </c>
    </row>
    <row r="279" spans="20:26" x14ac:dyDescent="0.25">
      <c r="T279" s="2" t="s">
        <v>890</v>
      </c>
      <c r="U279" s="2">
        <v>2.9</v>
      </c>
      <c r="V279" s="83" t="s">
        <v>552</v>
      </c>
      <c r="W279" s="83" t="s">
        <v>552</v>
      </c>
      <c r="X279" s="83" t="s">
        <v>552</v>
      </c>
      <c r="Y279" s="83" t="s">
        <v>552</v>
      </c>
      <c r="Z279" s="83" t="s">
        <v>552</v>
      </c>
    </row>
    <row r="280" spans="20:26" x14ac:dyDescent="0.25">
      <c r="T280" s="2" t="s">
        <v>900</v>
      </c>
      <c r="U280" s="2">
        <v>0.74</v>
      </c>
      <c r="V280" s="83" t="s">
        <v>552</v>
      </c>
      <c r="W280" s="83" t="s">
        <v>552</v>
      </c>
      <c r="X280" s="83" t="s">
        <v>552</v>
      </c>
      <c r="Y280" s="83" t="s">
        <v>552</v>
      </c>
      <c r="Z280" s="83" t="s">
        <v>552</v>
      </c>
    </row>
    <row r="281" spans="20:26" x14ac:dyDescent="0.25">
      <c r="T281" s="2" t="s">
        <v>892</v>
      </c>
      <c r="U281" s="2">
        <v>1.24</v>
      </c>
      <c r="V281" s="83" t="s">
        <v>552</v>
      </c>
      <c r="W281" s="83" t="s">
        <v>552</v>
      </c>
      <c r="X281" s="83" t="s">
        <v>552</v>
      </c>
      <c r="Y281" s="83" t="s">
        <v>552</v>
      </c>
      <c r="Z281" s="83" t="s">
        <v>552</v>
      </c>
    </row>
    <row r="282" spans="20:26" x14ac:dyDescent="0.25">
      <c r="T282" s="2" t="s">
        <v>893</v>
      </c>
      <c r="U282" s="2">
        <v>0.65</v>
      </c>
      <c r="V282" s="83" t="s">
        <v>552</v>
      </c>
      <c r="W282" s="83" t="s">
        <v>552</v>
      </c>
      <c r="X282" s="83" t="s">
        <v>552</v>
      </c>
      <c r="Y282" s="83" t="s">
        <v>552</v>
      </c>
      <c r="Z282" s="83" t="s">
        <v>552</v>
      </c>
    </row>
    <row r="283" spans="20:26" x14ac:dyDescent="0.25">
      <c r="T283" s="2" t="s">
        <v>880</v>
      </c>
      <c r="U283" s="2">
        <v>2.62</v>
      </c>
      <c r="V283" s="83" t="s">
        <v>552</v>
      </c>
      <c r="W283" s="83" t="s">
        <v>552</v>
      </c>
      <c r="X283" s="83" t="s">
        <v>552</v>
      </c>
      <c r="Y283" s="83" t="s">
        <v>552</v>
      </c>
      <c r="Z283" s="83" t="s">
        <v>552</v>
      </c>
    </row>
    <row r="284" spans="20:26" x14ac:dyDescent="0.25">
      <c r="T284" s="2" t="s">
        <v>877</v>
      </c>
      <c r="U284" s="2">
        <v>4.12</v>
      </c>
      <c r="V284" s="83" t="s">
        <v>552</v>
      </c>
      <c r="W284" s="83" t="s">
        <v>552</v>
      </c>
      <c r="X284" s="83" t="s">
        <v>552</v>
      </c>
      <c r="Y284" s="83" t="s">
        <v>552</v>
      </c>
      <c r="Z284" s="83" t="s">
        <v>552</v>
      </c>
    </row>
    <row r="285" spans="20:26" x14ac:dyDescent="0.25">
      <c r="T285" s="2" t="s">
        <v>868</v>
      </c>
      <c r="U285" s="2">
        <v>4.16</v>
      </c>
      <c r="V285" s="83" t="s">
        <v>552</v>
      </c>
      <c r="W285" s="83" t="s">
        <v>552</v>
      </c>
      <c r="X285" s="83" t="s">
        <v>552</v>
      </c>
      <c r="Y285" s="83" t="s">
        <v>552</v>
      </c>
      <c r="Z285" s="83" t="s">
        <v>552</v>
      </c>
    </row>
    <row r="286" spans="20:26" x14ac:dyDescent="0.25">
      <c r="T286" s="2" t="s">
        <v>867</v>
      </c>
      <c r="U286" s="2">
        <v>1.99</v>
      </c>
      <c r="V286" s="83" t="s">
        <v>552</v>
      </c>
      <c r="W286" s="83" t="s">
        <v>552</v>
      </c>
      <c r="X286" s="83" t="s">
        <v>552</v>
      </c>
      <c r="Y286" s="83" t="s">
        <v>552</v>
      </c>
      <c r="Z286" s="83" t="s">
        <v>552</v>
      </c>
    </row>
    <row r="287" spans="20:26" x14ac:dyDescent="0.25">
      <c r="T287" s="2" t="s">
        <v>869</v>
      </c>
      <c r="U287" s="2">
        <v>2.34</v>
      </c>
      <c r="V287" s="83" t="s">
        <v>552</v>
      </c>
      <c r="W287" s="83" t="s">
        <v>552</v>
      </c>
      <c r="X287" s="83" t="s">
        <v>552</v>
      </c>
      <c r="Y287" s="83" t="s">
        <v>552</v>
      </c>
      <c r="Z287" s="83" t="s">
        <v>552</v>
      </c>
    </row>
    <row r="288" spans="20:26" x14ac:dyDescent="0.25">
      <c r="T288" s="2" t="s">
        <v>888</v>
      </c>
      <c r="U288" s="2">
        <v>3.4</v>
      </c>
      <c r="V288" s="83" t="s">
        <v>552</v>
      </c>
      <c r="W288" s="83" t="s">
        <v>552</v>
      </c>
      <c r="X288" s="83" t="s">
        <v>552</v>
      </c>
      <c r="Y288" s="83" t="s">
        <v>552</v>
      </c>
      <c r="Z288" s="83" t="s">
        <v>552</v>
      </c>
    </row>
    <row r="289" spans="20:26" x14ac:dyDescent="0.25">
      <c r="T289" s="2" t="s">
        <v>891</v>
      </c>
      <c r="U289" s="2">
        <v>3.32</v>
      </c>
      <c r="V289" s="83" t="s">
        <v>552</v>
      </c>
      <c r="W289" s="83" t="s">
        <v>552</v>
      </c>
      <c r="X289" s="83" t="s">
        <v>552</v>
      </c>
      <c r="Y289" s="83" t="s">
        <v>552</v>
      </c>
      <c r="Z289" s="83" t="s">
        <v>552</v>
      </c>
    </row>
    <row r="290" spans="20:26" x14ac:dyDescent="0.25">
      <c r="T290" s="2" t="s">
        <v>876</v>
      </c>
      <c r="U290" s="85">
        <v>3.5</v>
      </c>
      <c r="V290" s="83" t="s">
        <v>552</v>
      </c>
      <c r="W290" s="83" t="s">
        <v>552</v>
      </c>
      <c r="X290" s="83" t="s">
        <v>552</v>
      </c>
      <c r="Y290" s="83" t="s">
        <v>552</v>
      </c>
      <c r="Z290" s="83" t="s">
        <v>552</v>
      </c>
    </row>
    <row r="291" spans="20:26" x14ac:dyDescent="0.25">
      <c r="T291" s="2" t="s">
        <v>884</v>
      </c>
      <c r="U291" s="85">
        <v>5.82</v>
      </c>
      <c r="V291" s="83" t="s">
        <v>552</v>
      </c>
      <c r="W291" s="83" t="s">
        <v>552</v>
      </c>
      <c r="X291" s="83" t="s">
        <v>552</v>
      </c>
      <c r="Y291" s="83" t="s">
        <v>552</v>
      </c>
      <c r="Z291" s="83" t="s">
        <v>552</v>
      </c>
    </row>
    <row r="292" spans="20:26" x14ac:dyDescent="0.25">
      <c r="T292" s="2" t="s">
        <v>881</v>
      </c>
      <c r="U292" s="85">
        <v>3.77</v>
      </c>
      <c r="V292" s="83" t="s">
        <v>552</v>
      </c>
      <c r="W292" s="83" t="s">
        <v>552</v>
      </c>
      <c r="X292" s="83" t="s">
        <v>552</v>
      </c>
      <c r="Y292" s="83" t="s">
        <v>552</v>
      </c>
      <c r="Z292" s="83" t="s">
        <v>552</v>
      </c>
    </row>
    <row r="293" spans="20:26" x14ac:dyDescent="0.25">
      <c r="T293" s="2" t="s">
        <v>874</v>
      </c>
      <c r="U293" s="85">
        <v>7.1</v>
      </c>
      <c r="V293" s="83" t="s">
        <v>552</v>
      </c>
      <c r="W293" s="83" t="s">
        <v>552</v>
      </c>
      <c r="X293" s="83" t="s">
        <v>552</v>
      </c>
      <c r="Y293" s="83" t="s">
        <v>552</v>
      </c>
      <c r="Z293" s="83" t="s">
        <v>552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18</vt:i4>
      </vt:variant>
    </vt:vector>
  </HeadingPairs>
  <TitlesOfParts>
    <vt:vector size="18" baseType="lpstr">
      <vt:lpstr>Käyttöohje</vt:lpstr>
      <vt:lpstr>Kokonaispäästöt</vt:lpstr>
      <vt:lpstr>Tuotettu energia</vt:lpstr>
      <vt:lpstr>Polttoaineet</vt:lpstr>
      <vt:lpstr>Hajapäästöt</vt:lpstr>
      <vt:lpstr>Sähkö ja höyry</vt:lpstr>
      <vt:lpstr>Kaukolämpö ja kaukokylmä</vt:lpstr>
      <vt:lpstr>Rakennusmateriaalit</vt:lpstr>
      <vt:lpstr>Käyttöomaisuus</vt:lpstr>
      <vt:lpstr>Kuljetukset</vt:lpstr>
      <vt:lpstr>Matkustus</vt:lpstr>
      <vt:lpstr>Jätteet</vt:lpstr>
      <vt:lpstr>Vuokrat ja leasing</vt:lpstr>
      <vt:lpstr>Tuotteen prosessointi ja käyttö</vt:lpstr>
      <vt:lpstr>Tuotteiden loppukäsittely</vt:lpstr>
      <vt:lpstr>Franchising ja sijoitukset</vt:lpstr>
      <vt:lpstr>Ruoka ja juoma</vt:lpstr>
      <vt:lpstr>Päästökertoimet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Kainulainen Joona</dc:creator>
  <cp:lastModifiedBy>Kainulainen Joona</cp:lastModifiedBy>
  <cp:lastPrinted>2023-10-10T09:29:12Z</cp:lastPrinted>
  <dcterms:created xsi:type="dcterms:W3CDTF">2015-06-05T18:17:20Z</dcterms:created>
  <dcterms:modified xsi:type="dcterms:W3CDTF">2023-11-27T10:22:47Z</dcterms:modified>
</cp:coreProperties>
</file>